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71" activeTab="2"/>
  </bookViews>
  <sheets>
    <sheet name="Coverpage" sheetId="1" r:id="rId1"/>
    <sheet name="Introduction" sheetId="2" r:id="rId2"/>
    <sheet name="GenericSubInfo" sheetId="3" r:id="rId3"/>
    <sheet name="TelephonyRecord" sheetId="4" r:id="rId4"/>
    <sheet name="MessageRecord" sheetId="5" r:id="rId5"/>
    <sheet name="MultimediaRecord" sheetId="6" r:id="rId6"/>
    <sheet name="NetworkAccessRecord" sheetId="7" r:id="rId7"/>
    <sheet name="Control" sheetId="8" r:id="rId8"/>
  </sheets>
  <definedNames>
    <definedName name="AddressInformation">#REF!</definedName>
    <definedName name="AddressInformation_Organization">#REF!</definedName>
    <definedName name="AuthentificationInfo">#REF!</definedName>
    <definedName name="ContactDetails">#REF!</definedName>
    <definedName name="ContactDetails_billingAddress">#REF!</definedName>
    <definedName name="ContactDetails_IndividualInfo">#REF!</definedName>
    <definedName name="ContactDetails_Organization">#REF!</definedName>
    <definedName name="gender">#REF!</definedName>
    <definedName name="IndividualInfo">#REF!</definedName>
    <definedName name="IPAddress_serverID_MsgStoreOperation">#REF!</definedName>
    <definedName name="MM_destinationAddress_IPAddress">#REF!</definedName>
    <definedName name="NOTE_2_MsgStoreOperation">#REF!</definedName>
    <definedName name="OrganizationInfo">#REF!</definedName>
    <definedName name="PersonName">#REF!</definedName>
    <definedName name="TelephonyDeviceID">#REF!</definedName>
    <definedName name="Telephony_Billing_Address_TimeSpan">#REF!</definedName>
  </definedNames>
  <calcPr fullCalcOnLoad="1"/>
</workbook>
</file>

<file path=xl/sharedStrings.xml><?xml version="1.0" encoding="utf-8"?>
<sst xmlns="http://schemas.openxmlformats.org/spreadsheetml/2006/main" count="5107" uniqueCount="1067">
  <si>
    <t>Statement of Compliance relating to ETSI TS 102 657 v1.9.1 parameters in Switzerland</t>
  </si>
  <si>
    <t>This Compliance Statement ProForma is intended allowing CSPs to declare and agree wth PTSS upon technical provisions for the purpose Data Retention.
The Technical Requirements, as far as parameters (according to ETSI TS 102 657) to be retained in CSP's Systems are concerned, are specified in this document and CSPs have to submit the declaration to PTSS, whereupon negotiations may take place in order to agree upon the technical provisions a system supports. At the end of the negotiations the Statement of Compliance will be part of an agreement between CSP and PTSS.</t>
  </si>
  <si>
    <t>CSP business name</t>
  </si>
  <si>
    <t>e.g. xy AG</t>
  </si>
  <si>
    <t>Identification number (commercial register)</t>
  </si>
  <si>
    <t>CH-xxx.x.xxx.xxx-x</t>
  </si>
  <si>
    <t>Legal Status</t>
  </si>
  <si>
    <t>Legal seat</t>
  </si>
  <si>
    <t>Company address</t>
  </si>
  <si>
    <t>Postal address</t>
  </si>
  <si>
    <t>Services covered</t>
  </si>
  <si>
    <t>Check the box where applicable</t>
  </si>
  <si>
    <t>Full name of Person making the declaration</t>
  </si>
  <si>
    <t>Qualification of Person making the declaration</t>
  </si>
  <si>
    <t>Postal address of Person making the declaration</t>
  </si>
  <si>
    <t>Phone number of Person making the declaration</t>
  </si>
  <si>
    <t>E-mail address of Person making the declaration</t>
  </si>
  <si>
    <t>Declared at place</t>
  </si>
  <si>
    <t>Date (dd/mm/yyyy)</t>
  </si>
  <si>
    <t>Signature</t>
  </si>
  <si>
    <t>Approval by PTSS</t>
  </si>
  <si>
    <t>Full name of Person</t>
  </si>
  <si>
    <t>Qualification of Person</t>
  </si>
  <si>
    <t>Phone number of Person</t>
  </si>
  <si>
    <t>E-mail address</t>
  </si>
  <si>
    <t>Introduction to the document for the definition of parameters according to ETSI TS 102 657 v1.9.1</t>
  </si>
  <si>
    <t>The type of table below specifies requirements as seen by the Prosecution. It should be noted that the “R” (Required) represents an indication by Prosecution and are not intended to construe a mandatory requirement for obliged CSP. Specific circumstances in CSP environment have to be considered to evaluate the applicability, which is subject to bilateral agreement between PTSS and the CSP. CSP can provide their statements and comments in the green cells/zones where applicable.</t>
  </si>
  <si>
    <t>The CSP is requested to describe the capabilities of its System to deliver data of the type &lt;parametername 1&gt;</t>
  </si>
  <si>
    <t>CSP statement</t>
  </si>
  <si>
    <t>Authority Requirement</t>
  </si>
  <si>
    <t>NOTE:</t>
  </si>
  <si>
    <t>NOTE</t>
  </si>
  <si>
    <t>Parameter name ETSI TS 102 657</t>
  </si>
  <si>
    <t>Supported</t>
  </si>
  <si>
    <t>Not Supported</t>
  </si>
  <si>
    <t>Not Applicable</t>
  </si>
  <si>
    <t>Required</t>
  </si>
  <si>
    <t>Not Required</t>
  </si>
  <si>
    <t>Description of parameter</t>
  </si>
  <si>
    <t>CSP comments</t>
  </si>
  <si>
    <t>&lt;parametername 1&gt;</t>
  </si>
  <si>
    <t>R</t>
  </si>
  <si>
    <t>&lt;parametername 2&gt;</t>
  </si>
  <si>
    <t>NR</t>
  </si>
  <si>
    <t>&lt;parametername 3&gt;</t>
  </si>
  <si>
    <t>&lt;parametername 4&gt;</t>
  </si>
  <si>
    <t>sub-structure</t>
  </si>
  <si>
    <t>Parameter name by supplier</t>
  </si>
  <si>
    <t>&lt;parametername 31&gt;</t>
  </si>
  <si>
    <t>&lt;parametername 32&gt;</t>
  </si>
  <si>
    <t>The type of table below is a declaration of detailed specification. It is associated with a requirement and is to be provided when compliance to a specific requirement is claimed by the CSP.</t>
  </si>
  <si>
    <t>Description: of &lt;parameter 11&gt;</t>
  </si>
  <si>
    <t>CSP specification:</t>
  </si>
  <si>
    <t>&lt;parameter 11&gt;</t>
  </si>
  <si>
    <t>The type of table below indicates that Prosecution does not require a certain parameter. It should be noted that a “NR” may also appear as a row in a table.</t>
  </si>
  <si>
    <t>The CSP is requested to describe the capabilities of its System to deliver data of the type &lt;parametername 21&gt; NOTE: ….</t>
  </si>
  <si>
    <t>&lt;parametername 21&gt;</t>
  </si>
  <si>
    <t>The type of table below indicates that Prosecution does not require a certain parameter through the HI-A and HI-B interfaces. However, this parameter may be requested through another inerface (e.g. manually, fax, encrypted email, etc…)</t>
  </si>
  <si>
    <t>The CSP is requested to describe the capabilities of its System to deliver data of the type &lt;parametername 31&gt; NOTE: ….</t>
  </si>
  <si>
    <t>NR (NOTE)</t>
  </si>
  <si>
    <t>Generic Subscriber Information according to ETSI TS 102 657 v1.9.1 Annex A</t>
  </si>
  <si>
    <t>OrganizationInfo</t>
  </si>
  <si>
    <t>The CSP is requested to describe the capabilities of its System to deliver data of the type</t>
  </si>
  <si>
    <t>Beispiel</t>
  </si>
  <si>
    <t>Hilfe</t>
  </si>
  <si>
    <t>name [1]</t>
  </si>
  <si>
    <t>Müllers Legal</t>
  </si>
  <si>
    <t>contactDetails [2]</t>
  </si>
  <si>
    <t>[siehe ContactDetails]</t>
  </si>
  <si>
    <t>nationalRegistrationID [3]</t>
  </si>
  <si>
    <t>Commercial register (Zefix)</t>
  </si>
  <si>
    <t>CH-550.1.051.276-3</t>
  </si>
  <si>
    <t>http://zefix.admin.ch/</t>
  </si>
  <si>
    <t>ContactDetails</t>
  </si>
  <si>
    <t>address [1]</t>
  </si>
  <si>
    <t>[siehe Addressinformation]</t>
  </si>
  <si>
    <t>emailAddress [2]</t>
  </si>
  <si>
    <t>contact@muellers.ch</t>
  </si>
  <si>
    <t>contactNumber [3]</t>
  </si>
  <si>
    <t>several numbers (work, home, mobile) may be given for a single subscriber</t>
  </si>
  <si>
    <t>additionalEmailAddresses [4]</t>
  </si>
  <si>
    <t>several email addresses may be given for a single subscriber</t>
  </si>
  <si>
    <t>mueller@muellers.ch</t>
  </si>
  <si>
    <t>AddressInformation</t>
  </si>
  <si>
    <t>flatNumber [1]</t>
  </si>
  <si>
    <t>buildingName [2]</t>
  </si>
  <si>
    <t>[leer]</t>
  </si>
  <si>
    <t>buildingNumber [3]</t>
  </si>
  <si>
    <t>15c</t>
  </si>
  <si>
    <t>streetName [4]</t>
  </si>
  <si>
    <t>Rebenstrasse</t>
  </si>
  <si>
    <t>poBox [5]</t>
  </si>
  <si>
    <t>Postfach 74</t>
  </si>
  <si>
    <t>postalCode [6]</t>
  </si>
  <si>
    <t>Or ZIP code</t>
  </si>
  <si>
    <t>region [7]</t>
  </si>
  <si>
    <t>province [8]</t>
  </si>
  <si>
    <t>Or State, for international address (e.g. USA, Canada, Australia, etc…)</t>
  </si>
  <si>
    <t>ZH</t>
  </si>
  <si>
    <t>language [9]</t>
  </si>
  <si>
    <t>city [10]</t>
  </si>
  <si>
    <t>Zürich</t>
  </si>
  <si>
    <t>country [11]</t>
  </si>
  <si>
    <t>CH</t>
  </si>
  <si>
    <t>addressInformation</t>
  </si>
  <si>
    <t>?</t>
  </si>
  <si>
    <t>startTime [1]</t>
  </si>
  <si>
    <t>20080102000000Z</t>
  </si>
  <si>
    <t>endTime [2]</t>
  </si>
  <si>
    <t>durationTime [3]</t>
  </si>
  <si>
    <t>IndividualInfo</t>
  </si>
  <si>
    <t>[PersonName]</t>
  </si>
  <si>
    <t>contactAddress [2]</t>
  </si>
  <si>
    <t>[ContactDetails]</t>
  </si>
  <si>
    <t>dateOfBirth [3]</t>
  </si>
  <si>
    <t>GeneralizedTime</t>
  </si>
  <si>
    <t>19800430000000Z</t>
  </si>
  <si>
    <t>gender [4]</t>
  </si>
  <si>
    <t>[gender]</t>
  </si>
  <si>
    <t>identificationNumber [5]</t>
  </si>
  <si>
    <t>authenticationInfo [6]</t>
  </si>
  <si>
    <t xml:space="preserve">[AuthenticationInfo]
</t>
  </si>
  <si>
    <t>profession [7]</t>
  </si>
  <si>
    <t>UTF8String</t>
  </si>
  <si>
    <t>Taxifahrer</t>
  </si>
  <si>
    <t>[AddressInformation]</t>
  </si>
  <si>
    <t>PersonName</t>
  </si>
  <si>
    <t>salutation [1]</t>
  </si>
  <si>
    <t>Herr</t>
  </si>
  <si>
    <t>surname [2]</t>
  </si>
  <si>
    <t>the non-chosen or inherited name of an individual</t>
  </si>
  <si>
    <t>Burg</t>
  </si>
  <si>
    <t>surnamePrefix [3]</t>
  </si>
  <si>
    <t>any prefix before the surname, e.g. "von", "van der"</t>
  </si>
  <si>
    <t>von</t>
  </si>
  <si>
    <t>surnameSuffix [4]</t>
  </si>
  <si>
    <t>any suffix after the surname, e.g. "Jr", "III"</t>
  </si>
  <si>
    <t>middleNames [5]</t>
  </si>
  <si>
    <t>that part of the name excluding forename, separable and preceding the surname</t>
  </si>
  <si>
    <t>Daniel</t>
  </si>
  <si>
    <t>firstname [6]</t>
  </si>
  <si>
    <t>the first name or initials, e.g. "Peter"</t>
  </si>
  <si>
    <t>Max</t>
  </si>
  <si>
    <t>secondsurname [7]</t>
  </si>
  <si>
    <t>a second surname is used in several countries</t>
  </si>
  <si>
    <t>secondsurnamePrefix [8]</t>
  </si>
  <si>
    <t>seconndsurnameSuffix [9]</t>
  </si>
  <si>
    <t>3a</t>
  </si>
  <si>
    <t>Rosenstrasse</t>
  </si>
  <si>
    <t>TG</t>
  </si>
  <si>
    <t>Frauenfeld</t>
  </si>
  <si>
    <t>validity [12] SEQUENCE</t>
  </si>
  <si>
    <t>20080915235959Z</t>
  </si>
  <si>
    <t>gender</t>
  </si>
  <si>
    <t>male (0)</t>
  </si>
  <si>
    <t>0 (=männlich)</t>
  </si>
  <si>
    <t>Enum Wert</t>
  </si>
  <si>
    <t>female (1)</t>
  </si>
  <si>
    <t>AuthenticationInfo</t>
  </si>
  <si>
    <t>authenticationType [1]</t>
  </si>
  <si>
    <t>the type of document used to authenticate, e.g. passport, driver's license</t>
  </si>
  <si>
    <t>Identitiy card</t>
  </si>
  <si>
    <t>authenticationNumber [2]</t>
  </si>
  <si>
    <t>the number of the document used to authenticate</t>
  </si>
  <si>
    <t>C5809781</t>
  </si>
  <si>
    <t>Telephony Record according to ETSI TS 102 657 v1.9.1 Annex B</t>
  </si>
  <si>
    <t>Telephony Subscriber</t>
  </si>
  <si>
    <t>TelephonySubscriber</t>
  </si>
  <si>
    <t>subscriberID [1]</t>
  </si>
  <si>
    <t>TelephonySubscriberId ::= UTF8String A unique identifier for a particular subscriber within a CSP (TS 102 657 Table B.1).
Intended purpose of this parameter in a search routine: Telephony subscriber record with matching subscriber id is returned. (TS 102 657 Annex F.2.1).
NOTE: It should be noted that the subscriberID in the Message Record is OCTET STRING.</t>
  </si>
  <si>
    <t>[subscriberID]</t>
  </si>
  <si>
    <t>genericSubscriberInfo [2]</t>
  </si>
  <si>
    <t>[GenericSubscriberInfo]</t>
  </si>
  <si>
    <t>telephonySubscriberInfo [3]</t>
  </si>
  <si>
    <t>Reserved</t>
  </si>
  <si>
    <t>subscribedTelephonyServices [4]</t>
  </si>
  <si>
    <t>[SubscribedTelephonyServices]</t>
  </si>
  <si>
    <t>nationalTelephonySubscriberInfo [5]</t>
  </si>
  <si>
    <t>When the parameter subscriberID [1] of TelephonySubscriberNOTE: In order to exploit this parameter, the LEMF/ISS has to take appropriate measures for its proper processing.NOTE: In order to exploit this parameter, the LEMF/ISS has to take appropriate measures for its proper processing.</t>
  </si>
  <si>
    <t>unbekannt</t>
  </si>
  <si>
    <t>subscriberID [1] -&gt; TelephonySubscriberId ::= UTF8String</t>
  </si>
  <si>
    <t>KL587859</t>
  </si>
  <si>
    <t>SubscribedTelephonyServices</t>
  </si>
  <si>
    <t>serviceID [1]</t>
  </si>
  <si>
    <t>UTF8String
A unique identifier within the operator for the service or tariff subscribed to (TS 102 657 Table B.2)</t>
  </si>
  <si>
    <t>[serviceID]</t>
  </si>
  <si>
    <t>providerID [2]</t>
  </si>
  <si>
    <t>Unique identifier for the service provider (OP-ID)</t>
  </si>
  <si>
    <t>timeSpan [3]</t>
  </si>
  <si>
    <t>[TimeSpan]</t>
  </si>
  <si>
    <t>registeredNumbers [4]</t>
  </si>
  <si>
    <t>SEQUENCE OF PartyNumber PartyNumber ::= UTF8String The set of telephone numbers registered for this service</t>
  </si>
  <si>
    <t>registeredICCID [5]</t>
  </si>
  <si>
    <t>8904100008280090000</t>
  </si>
  <si>
    <t>http://en.wikipedia.org/wiki/Subscriber_identity_module#ICCID</t>
  </si>
  <si>
    <t>serviceType [6]</t>
  </si>
  <si>
    <t>[TelephonyServiceType]</t>
  </si>
  <si>
    <t>installationAddress [7]</t>
  </si>
  <si>
    <t xml:space="preserve">The installation address for the subscriber's equipment, if applicable.  </t>
  </si>
  <si>
    <t>connectionDate [8]</t>
  </si>
  <si>
    <t>Date the subscriber was actually connected (May differ from the start of subscription)</t>
  </si>
  <si>
    <t>20090804000000Z</t>
  </si>
  <si>
    <t>iMSI [9]</t>
  </si>
  <si>
    <t>IMSI ::= OCTET STRING</t>
  </si>
  <si>
    <t>228 01 228014420291295</t>
  </si>
  <si>
    <t>carrierPreselect [10]</t>
  </si>
  <si>
    <t>lineStatus [11]</t>
  </si>
  <si>
    <t>CSP-specific description of current line status</t>
  </si>
  <si>
    <t>Active</t>
  </si>
  <si>
    <t>CSP-specific description of current line status, e.g. "Active", "Ceased", etc.</t>
  </si>
  <si>
    <t>allocatedDeviceIDs [12]</t>
  </si>
  <si>
    <t>R (if it is an asset administrated by the CSP)</t>
  </si>
  <si>
    <t>SEQUENCE OF TelephonyDeviceID ::= OCTET STRING
List of all known devices allocated to this user for this subscription.</t>
  </si>
  <si>
    <t>eine oder mehrere [TelephonyDeviceID]</t>
  </si>
  <si>
    <t xml:space="preserve">List of all known devices allocated to this user for this subscription. The user may use other devices in addition (or instead of) these devices. </t>
  </si>
  <si>
    <t>pUKCode [13]</t>
  </si>
  <si>
    <t xml:space="preserve">
</t>
  </si>
  <si>
    <t>pUK2Code [14]</t>
  </si>
  <si>
    <t>iMEI [15]</t>
  </si>
  <si>
    <t>IMEI ::= OCTET STRING</t>
  </si>
  <si>
    <t>nationalTelephonySubscriptionInfo [16]</t>
  </si>
  <si>
    <t>paymentDetails [17]</t>
  </si>
  <si>
    <t>[PaymentDetails]</t>
  </si>
  <si>
    <t>When the parameter serviceID [1] of SubscribedTelephonyServicesNOTE: In order to exploit this parameter, the LEMF/ISS has to take appropriate measures for its proper processing.NOTE: In order to exploit this parameter, the LEMF/ISS has to take appropriate measures for its proper processing.</t>
  </si>
  <si>
    <t>Natel Easy Liberty 2011</t>
  </si>
  <si>
    <t>serviceID [1] ::= UTF8String</t>
  </si>
  <si>
    <t>nel2011</t>
  </si>
  <si>
    <t xml:space="preserve">A unique identifier within the operator for the service or tariff subscribed to. </t>
  </si>
  <si>
    <t xml:space="preserve">When the parameter allocatedDeviceIDs [12] of SubscribedTelephonyServices is supported, the CSP is requested to describe the properties and format of this parameter. </t>
  </si>
  <si>
    <t>iMEI</t>
  </si>
  <si>
    <t>allocatedDeviceIDs [12] -&gt; TelephonyDeviceID ::= OCTET STRING</t>
  </si>
  <si>
    <t>TimeSpan</t>
  </si>
  <si>
    <t>20080801000000Z</t>
  </si>
  <si>
    <t>Kunde hat in diesem Beispiel noch nicht gekündigt</t>
  </si>
  <si>
    <t>TelephonyServiceType</t>
  </si>
  <si>
    <t>private (0)</t>
  </si>
  <si>
    <t>0 (private)</t>
  </si>
  <si>
    <t>privatePABX (1)</t>
  </si>
  <si>
    <t>publicPayphone (2)</t>
  </si>
  <si>
    <t>AddressInformation (installationAddress)</t>
  </si>
  <si>
    <t>The installation address for the subscriber's equipment, if applicable</t>
  </si>
  <si>
    <t>da Handy</t>
  </si>
  <si>
    <t>validity [12]</t>
  </si>
  <si>
    <t>TimeSpan (Addr. Information)</t>
  </si>
  <si>
    <t>Start data, if applicable, of the installation</t>
  </si>
  <si>
    <t>da Handy keine Addressinformationen (installationAddress) gespeichert</t>
  </si>
  <si>
    <t>End data, if applicable, of the installation</t>
  </si>
  <si>
    <t>PaymentDetails</t>
  </si>
  <si>
    <t>billingMethod [1]</t>
  </si>
  <si>
    <t>[BillingMethod]</t>
  </si>
  <si>
    <t>bankAccount [2]</t>
  </si>
  <si>
    <t>[BankAccount]</t>
  </si>
  <si>
    <t>billingAddress [3]</t>
  </si>
  <si>
    <t>BillingMethod</t>
  </si>
  <si>
    <t>debit(0)</t>
  </si>
  <si>
    <t>transfer(1)</t>
  </si>
  <si>
    <t>prepaid(2)</t>
  </si>
  <si>
    <t>2 (=prepaid)</t>
  </si>
  <si>
    <t>BankAccount</t>
  </si>
  <si>
    <t>iBAN [1]</t>
  </si>
  <si>
    <t>IBAN ::= UTF8String; International Banking Account Number format as per ISO 13616-1:2007</t>
  </si>
  <si>
    <t>Wohl unbekannt, da Pre-Paid</t>
  </si>
  <si>
    <t>bIC [2]</t>
  </si>
  <si>
    <t>R (if IBAN not available)</t>
  </si>
  <si>
    <t>BIC ::= UTF8String; Business Identifier Code, format as per ISO 9362:2009</t>
  </si>
  <si>
    <t>accountHolder [3]</t>
  </si>
  <si>
    <t>nationalAccountNumber [4]</t>
  </si>
  <si>
    <t>UTF8String; To be used in the case that the account holding bank has no IBAN</t>
  </si>
  <si>
    <t>nationalBankNumber [5]</t>
  </si>
  <si>
    <t>UTF8String; To be used in the case that the account holding bank has neither IBAN nor BIC</t>
  </si>
  <si>
    <t>bankName [6]</t>
  </si>
  <si>
    <t>[siehe AddressInformation auf Seite GenericSubinfo, Zeile 74]</t>
  </si>
  <si>
    <t>[siehe oben]</t>
  </si>
  <si>
    <t>Start data, if applicable, of payment</t>
  </si>
  <si>
    <t>End data, if applicable, of payment</t>
  </si>
  <si>
    <t>Telephony Billing Details</t>
  </si>
  <si>
    <t>TelephonyBillingDetails</t>
  </si>
  <si>
    <t>serviceID [2]</t>
  </si>
  <si>
    <t>billingIdentifier [4]</t>
  </si>
  <si>
    <t>BillingIdentifier ::= OCTET STRING; Used to correlate billing information
useful if the bill-payer is not the subscriber, e.g. company mobiles</t>
  </si>
  <si>
    <t>billingRecords [5]</t>
  </si>
  <si>
    <t>nationalTelephonyBillingDetails [6]</t>
  </si>
  <si>
    <t>When the parameter subscriberID [1] of TelephonyBillingDetailsNOTE: In order to exploit this parameter, the LEMF/ISS has to take appropriate measures for its proper processing.NOTE: In order to exploit this parameter, the LEMF/ISS has to take appropriate measures for its proper processing.</t>
  </si>
  <si>
    <t>When the parameter billingIdentifier [4] of TelephonyBillingDetails is supported, the CSP is requested to describe the properties (in particular the uniqueness, e.g. unique among all services offered by CSP vs. unique per service) and format of this parameter.
NOTE: In order to exploit this parameter, the LEMF/ISS has to take appropriate measures for its proper processing.</t>
  </si>
  <si>
    <t>billingIdentifier [4] -&gt; BillingIdentifier ::= OCTET STRING</t>
  </si>
  <si>
    <t>ContactDetails(billingAddress)(billingAddress)</t>
  </si>
  <si>
    <t>BillingRecords</t>
  </si>
  <si>
    <t>time [1]</t>
  </si>
  <si>
    <t>place [2]</t>
  </si>
  <si>
    <t>amount [3]</t>
  </si>
  <si>
    <t>REAL</t>
  </si>
  <si>
    <t>currency [4]</t>
  </si>
  <si>
    <t>method [5]</t>
  </si>
  <si>
    <t>UTF8String; i.e. credit card, etc…</t>
  </si>
  <si>
    <t>nationalTelephonyBillingRecords [6]</t>
  </si>
  <si>
    <t>transactionID [7]</t>
  </si>
  <si>
    <t>See TS 102 657 Annex B.3, BillingRecords:
-- Unique reference for this transaction/billing record
-- Details to be defined on a national basis
NOTE: When Prosecution wants to investigate, they should call the obligation to disclose (Editionspflicht) of the provider of the service (e.g. invoice center). The exchange of such information is outside the scope of HI-A and HI-B.</t>
  </si>
  <si>
    <t>transactionStatus [8]</t>
  </si>
  <si>
    <t>Telephony Service Usage</t>
  </si>
  <si>
    <t>The system shall deliver (to the Data Retention System) set of PartyInformation parameters for each party involved in the communication. PartyInformation structure described in TS 102 657 clause B.2.4.2</t>
  </si>
  <si>
    <t>CSP’s Explanation of Compliance Statement:</t>
  </si>
  <si>
    <t>PartyInformation</t>
  </si>
  <si>
    <t>Bei Telefonat eigentlich auch Max Daniel von Burg</t>
  </si>
  <si>
    <t>TelephonyServiceUsage</t>
  </si>
  <si>
    <t>partyInformation [1]</t>
  </si>
  <si>
    <t>[TelephonyPartyInformation]</t>
  </si>
  <si>
    <t>communicationTime [2]</t>
  </si>
  <si>
    <t>eventInformation [3]</t>
  </si>
  <si>
    <t>endReason [4]</t>
  </si>
  <si>
    <t>communicationType [5]</t>
  </si>
  <si>
    <t>[TelephonyCommunicationType]</t>
  </si>
  <si>
    <t>bearerService [6]</t>
  </si>
  <si>
    <t>[TelephonyBearerService]</t>
  </si>
  <si>
    <t>smsInformation [7]</t>
  </si>
  <si>
    <t>[SmsInformation]</t>
  </si>
  <si>
    <t>ringDuration [8]</t>
  </si>
  <si>
    <t>mmsInformation [9]</t>
  </si>
  <si>
    <t>[MmsInformation]</t>
  </si>
  <si>
    <t>nationalTelephonyServiceUsage [10]</t>
  </si>
  <si>
    <t>TelephonyPartyInformation</t>
  </si>
  <si>
    <t>partyRole [1]</t>
  </si>
  <si>
    <t>[TelephonyPartyRole]</t>
  </si>
  <si>
    <t>partyNumber [2]</t>
  </si>
  <si>
    <t>PartyNumber ::= UTF8String</t>
  </si>
  <si>
    <t>subscriberID [3]</t>
  </si>
  <si>
    <t>TelephonySubscriberId ::= UTF8String; 
unique identifier for this subscriber, e.g. account number (see TS 102 657 Annex B.3, TelephonySubscriberId).
NOTE: It should be noted that the subscriberID in the Message Record is OCTET STRING.</t>
  </si>
  <si>
    <t>deviceID [4]</t>
  </si>
  <si>
    <t>TelephonyDeviceID ::= OCTET STRING
A unique identifier for the telephony device. For example, the IMEI number of a mobile handset (see TS 102 657 Annex B.3, TelephonyDeviceID).
NOTE: The support of this capability requires a unique HW-identity which is conveyed between the Device and the Network as part of the protocol. The example IMEI makes no sense, since IMEI might be provided anyway, see parameter iMEI [13].</t>
  </si>
  <si>
    <t>NOTE: The support of this capability requires a unique HW-identity which
 is conveyed between the Device and the Network as part of the protocol.
 The example IMEI makes no sense, since IMEI might be provided anyway, 
see parameter iMEI [13].</t>
  </si>
  <si>
    <t>locations [5]</t>
  </si>
  <si>
    <t>[TelephonyLocation]</t>
  </si>
  <si>
    <t>communicationTime [6]</t>
  </si>
  <si>
    <t>[CommunicationTime]</t>
  </si>
  <si>
    <t>iCCID [7]</t>
  </si>
  <si>
    <t>NOTE: ETSI TC LI decided to remove iCCID in the context of usage from the ASN.1 definition. This amendment will be made in v1.10.1 of TS 102 657. When v1.10.1 of TS 102 657 is published, this parameter will be removed from this document.
Integrated Circuit Card ID (ICCID) number of the party, in ASCII format.</t>
  </si>
  <si>
    <t>8904100008280091000</t>
  </si>
  <si>
    <t>iMSI [8]</t>
  </si>
  <si>
    <t>229 02 286014420291285</t>
  </si>
  <si>
    <t>natureOfAddress [9]</t>
  </si>
  <si>
    <t>Nature of address indicator, e.g. "National", "International"</t>
  </si>
  <si>
    <t>National</t>
  </si>
  <si>
    <t>forwardedTransferredNumber [10]</t>
  </si>
  <si>
    <t>terminatingTransferredNumber [11]</t>
  </si>
  <si>
    <t>emailAddress [12]</t>
  </si>
  <si>
    <t>used for MMS that supports also the use of E-Mail addresses (RFC 2822)</t>
  </si>
  <si>
    <t>Nur für MMS benötigt</t>
  </si>
  <si>
    <t>iMEI [13]</t>
  </si>
  <si>
    <t>detailedLocation [14]</t>
  </si>
  <si>
    <t>[TelephonyNetworkElement]</t>
  </si>
  <si>
    <t>nationalTelephonyPartyInformation [15]</t>
  </si>
  <si>
    <t>partyType [16]</t>
  </si>
  <si>
    <t>voicemail, smsServer, other</t>
  </si>
  <si>
    <t>dialledDigits [17]</t>
  </si>
  <si>
    <t>NOTE: In the context of the Telephony Service the meaning of these Digits when retrieved from Signalling or Content of Communiation (DTMF) is not defined.
When Prosecution wants to investigate, they should call the obligation to disclose (Editionspflicht) of the provider of the service conrolled by dialed Digits, in order to acquire the semantics. The exchange of such information is outside the scope of HI-A and HI-B.</t>
  </si>
  <si>
    <t>DTMF</t>
  </si>
  <si>
    <t>The system shall provide the parameter PartyNumber in each set of PartyInformation parameters associated with the respective party involved in the communication.</t>
  </si>
  <si>
    <t>CSP explanation of compliance statement:</t>
  </si>
  <si>
    <t>partyNumber [2] -&gt; PartyNumber ::=UTF8String</t>
  </si>
  <si>
    <t>When the parameter subscriberID [3] of TelephonyPartyInformation is supported, the CSP is requested to describe the properties (in particular the uniqueness, e.g. unique among all services offered by CSP vs. unique per service) and format of this parameter.</t>
  </si>
  <si>
    <t>unbekannt, Annahme: Kundennummer</t>
  </si>
  <si>
    <t>subscriberID [3] -&gt; TelephonySubscriberId ::= UTF8String</t>
  </si>
  <si>
    <t>KL587785</t>
  </si>
  <si>
    <t>Ist dies überhaupt bekannt?</t>
  </si>
  <si>
    <t>TelephonyPartyRole</t>
  </si>
  <si>
    <t>NOTES</t>
  </si>
  <si>
    <t>originating-Party(0)</t>
  </si>
  <si>
    <t>(NOTE 1)</t>
  </si>
  <si>
    <t>NOTE 1. The CSP shall support those parameters which are relevant to describe the roles of parties in a communication service.</t>
  </si>
  <si>
    <t>terminating-Party(1)</t>
  </si>
  <si>
    <t>1 (=terminating party)</t>
  </si>
  <si>
    <t>forwarded-to-Party(2)</t>
  </si>
  <si>
    <t>originalCalled (3)</t>
  </si>
  <si>
    <t>redirecting(4)</t>
  </si>
  <si>
    <t>connected(5)</t>
  </si>
  <si>
    <t>userProvidedCalling (6)</t>
  </si>
  <si>
    <t>roaming(7)</t>
  </si>
  <si>
    <t>translated(8)</t>
  </si>
  <si>
    <t>singlePersonalNumber (9)</t>
  </si>
  <si>
    <t>smsOriginator(10)</t>
  </si>
  <si>
    <t>smsRecipient(11)</t>
  </si>
  <si>
    <t>smsOriginatorTrn (12)</t>
  </si>
  <si>
    <t>smsRecipientTrn(13)</t>
  </si>
  <si>
    <t>mmsOriginator(14)</t>
  </si>
  <si>
    <t>mmsRecipient(15)</t>
  </si>
  <si>
    <t>mmsOriginatorTrn (16)</t>
  </si>
  <si>
    <t>mmsRecipientTrn (17)</t>
  </si>
  <si>
    <t>TelephonyLocation</t>
  </si>
  <si>
    <t>telephonyNetworkID [1]</t>
  </si>
  <si>
    <t>In the context of TelephonyLocation: ID of the network element location (e.g. Cell ID) (see TS 102 657 Annex B.3, TelephonyLocation, telephonyNetworkID).
NOTE: The relationship between the Location according to the location Parameter of a Network Element and the Location of the Target or the other Party is unspecified.</t>
  </si>
  <si>
    <t>[TelephonyNetworkID]</t>
  </si>
  <si>
    <t>timeSpan [2]</t>
  </si>
  <si>
    <t>nationalTelephonyLocation [3]</t>
  </si>
  <si>
    <t>When the parameter telephonyNetworkID [1] of TelephonyLocation is supported, the CSP is requested to describe the properties and format of this parameter.</t>
  </si>
  <si>
    <t>GSM Cell ID</t>
  </si>
  <si>
    <t>telephonyNetworkID [1] -&gt; TelephonyNetworkID ::= OCTET STRING</t>
  </si>
  <si>
    <t>20090801115514Z</t>
  </si>
  <si>
    <t>können mehrere sein, wenn sich die Person bewegt</t>
  </si>
  <si>
    <t>20090801121501Z</t>
  </si>
  <si>
    <t>CommunicationTime</t>
  </si>
  <si>
    <t>TelephonyNetworkElement</t>
  </si>
  <si>
    <t>cellInformation [2]</t>
  </si>
  <si>
    <t>[Location]</t>
  </si>
  <si>
    <t>validity [3]</t>
  </si>
  <si>
    <t>nationalTelephonyNetworkElement [4]</t>
  </si>
  <si>
    <t>transmitterDetails [5]</t>
  </si>
  <si>
    <t>When the parameter telephonyNetworkID [1] of TelephonyNetworkElement is supported, the CSP is requested to describe the properties and format of this parameter.</t>
  </si>
  <si>
    <t>20060715000000Z</t>
  </si>
  <si>
    <t>Location</t>
  </si>
  <si>
    <t>e164-Number [1]</t>
  </si>
  <si>
    <t>globalCellID [2]</t>
  </si>
  <si>
    <t>MAP format, see 3GPP TS 09.02</t>
  </si>
  <si>
    <t>Mobile Counrty Code (228) + Mobile Network Code (01) + Location Area Code (808) + Cell Identity (5321)
ACHTUNG: Bitte Werte auf Plausabilität prüfen!</t>
  </si>
  <si>
    <t>rAI [3]</t>
  </si>
  <si>
    <t>gsmLocation [4]</t>
  </si>
  <si>
    <t>[GSMLocation]</t>
  </si>
  <si>
    <t>umtsLocation [5]</t>
  </si>
  <si>
    <t>sAI [6]</t>
  </si>
  <si>
    <t>oldRAI [7]</t>
  </si>
  <si>
    <t>postalLocation [8]</t>
  </si>
  <si>
    <t>[Adressinformation]</t>
  </si>
  <si>
    <t>extendedLocation [9]</t>
  </si>
  <si>
    <t>GSMLocation</t>
  </si>
  <si>
    <t>geoCoordinates [1]</t>
  </si>
  <si>
    <t>[geoCoordinates]</t>
  </si>
  <si>
    <t>utmCoordinates [2]</t>
  </si>
  <si>
    <t>utmRefCoordinates [3]</t>
  </si>
  <si>
    <t>wGS84Coordinates [4]</t>
  </si>
  <si>
    <t>OCTET STRING; Alternative to Swiss reference CH1903</t>
  </si>
  <si>
    <t>geoCoordinatesDec [5]</t>
  </si>
  <si>
    <t>geoCoordinates</t>
  </si>
  <si>
    <t>latitude [1]</t>
  </si>
  <si>
    <t xml:space="preserve">
47.46667°</t>
  </si>
  <si>
    <t>longitude [2]</t>
  </si>
  <si>
    <t>9.366664°</t>
  </si>
  <si>
    <t>mapDatum [3]</t>
  </si>
  <si>
    <t>[MapDatum]</t>
  </si>
  <si>
    <t>azimuth [4]</t>
  </si>
  <si>
    <t>INTEGER (0..359)</t>
  </si>
  <si>
    <t>MapDatum</t>
  </si>
  <si>
    <t>wGS84(1)</t>
  </si>
  <si>
    <t>1 (=wGS84)</t>
  </si>
  <si>
    <t>wGS72(2)</t>
  </si>
  <si>
    <t>eD50(3)</t>
  </si>
  <si>
    <t>rD(4)</t>
  </si>
  <si>
    <t>potsdamDatum(5)</t>
  </si>
  <si>
    <t>datumAustria(6)</t>
  </si>
  <si>
    <t>eTRS89(7)</t>
  </si>
  <si>
    <t>nAD27(8)</t>
  </si>
  <si>
    <t>oSGB36(9)</t>
  </si>
  <si>
    <t>oSNI52(10)</t>
  </si>
  <si>
    <t>tM65(11)</t>
  </si>
  <si>
    <t>iTM(12)</t>
  </si>
  <si>
    <t>cH1903(13)</t>
  </si>
  <si>
    <t>AddressInformation(postalLocation)(postalLocation)</t>
  </si>
  <si>
    <t>St.Gallerstrasse</t>
  </si>
  <si>
    <t>SG</t>
  </si>
  <si>
    <t>Kronbühl</t>
  </si>
  <si>
    <t>NOTE: Considering that the parameter validity [3].specifies the validity of the entire detailedLocation [14] SEQUENCE,this validity parameter (confined to postal location) is not required, since its use is unclear</t>
  </si>
  <si>
    <t>TimeSpan (communicationTime)</t>
  </si>
  <si>
    <t>ev. unterschiedlich, wenn Conference-Call</t>
  </si>
  <si>
    <t>TelephonyCommunicationType</t>
  </si>
  <si>
    <t>telephonyFixedCS(0)</t>
  </si>
  <si>
    <t>telephonyWirelessCS(1)</t>
  </si>
  <si>
    <t>1 (=telephonyWirelessCS)</t>
  </si>
  <si>
    <t>sMS(2)</t>
  </si>
  <si>
    <t>mMS(3)</t>
  </si>
  <si>
    <t>TelephonyBearerService</t>
  </si>
  <si>
    <t>speech(0)</t>
  </si>
  <si>
    <t>0 (=speech)</t>
  </si>
  <si>
    <t>data(1)</t>
  </si>
  <si>
    <t>fax(2)</t>
  </si>
  <si>
    <t>SmsInformation</t>
  </si>
  <si>
    <t>smsEvent [1]</t>
  </si>
  <si>
    <t>smsType [2]</t>
  </si>
  <si>
    <t>smsStatus [3]</t>
  </si>
  <si>
    <t>smsCmRefNr [4]</t>
  </si>
  <si>
    <t>Format according to 3GPP TS 23.040</t>
  </si>
  <si>
    <t>smsNumOfSM [5]</t>
  </si>
  <si>
    <t>smsNotifyInd [6]</t>
  </si>
  <si>
    <t>smsProtocolId [7]</t>
  </si>
  <si>
    <t>smsEvent</t>
  </si>
  <si>
    <t>shortMessage(1)</t>
  </si>
  <si>
    <t>shortPartMessage(2)</t>
  </si>
  <si>
    <t>compositeMessage(3)</t>
  </si>
  <si>
    <t>notificationMessage(4)</t>
  </si>
  <si>
    <t>smsType</t>
  </si>
  <si>
    <t>deliverSCtoMS(1)</t>
  </si>
  <si>
    <t>The CSP is requested to describe the capabilities of its System to deliver data of the type smsType [2].
NOTE 1. The CSP shall support those parameters which are relevant to describe the roles of parties in a communication service.
NOTE 2. In the case a obliged provider is using parameters with a somewhat vague ETSI definition, upon request by PTSS the provider must provide a definition at the satisfaction of PTSS.</t>
  </si>
  <si>
    <t>deliverReportMStoSC(2)</t>
  </si>
  <si>
    <t>statusReportSCtoMS(3)</t>
  </si>
  <si>
    <t>commandMStoSC(4)</t>
  </si>
  <si>
    <t>submitMStoSC(5)</t>
  </si>
  <si>
    <t>submitReportSCtoMS(6)</t>
  </si>
  <si>
    <t>reservedMTIValue(7)</t>
  </si>
  <si>
    <t>smsStatus</t>
  </si>
  <si>
    <t>expired(1)</t>
  </si>
  <si>
    <t>deleted(2)</t>
  </si>
  <si>
    <t>replaced(3)</t>
  </si>
  <si>
    <t>submitted(4)</t>
  </si>
  <si>
    <t>incomplete-submission(5)</t>
  </si>
  <si>
    <t>incomplete-delivery(6)</t>
  </si>
  <si>
    <t>undeliverable(7)</t>
  </si>
  <si>
    <t>passed-on(8)</t>
  </si>
  <si>
    <t>MmsInformation</t>
  </si>
  <si>
    <t>mmsEvent [1]</t>
  </si>
  <si>
    <t>mmsStatus [2]</t>
  </si>
  <si>
    <t>mmsNotifInd [3]</t>
  </si>
  <si>
    <t>mmsMsgMod [4]</t>
  </si>
  <si>
    <t>mmsEvent</t>
  </si>
  <si>
    <t>message(1)</t>
  </si>
  <si>
    <t>notificationMessage(2)</t>
  </si>
  <si>
    <t>deliveryReportMessage(3)</t>
  </si>
  <si>
    <t>readReplyMessage(4)</t>
  </si>
  <si>
    <t>mmsStatus</t>
  </si>
  <si>
    <t>delivered(0)</t>
  </si>
  <si>
    <t>undeliverable(5)</t>
  </si>
  <si>
    <t>passed-on(6)</t>
  </si>
  <si>
    <t>delivery-rejection(7)</t>
  </si>
  <si>
    <t>delivery-forward(8)</t>
  </si>
  <si>
    <t>delivery-copy(9)</t>
  </si>
  <si>
    <t>submission-rejection(10)</t>
  </si>
  <si>
    <t>delivered-application(12)</t>
  </si>
  <si>
    <t>optional flag indicating MMS was retrieved using something other than mobile device e.g. web browser</t>
  </si>
  <si>
    <t>mmsMsgMod</t>
  </si>
  <si>
    <t>none(1)</t>
  </si>
  <si>
    <t>modified(2)</t>
  </si>
  <si>
    <t>stripped(3)</t>
  </si>
  <si>
    <t>Telephony Device</t>
  </si>
  <si>
    <t>TelephonyDevice</t>
  </si>
  <si>
    <t>deviceIDType [1]</t>
  </si>
  <si>
    <t>[deviceIDType]</t>
  </si>
  <si>
    <t>telephonyDeviceID [2]</t>
  </si>
  <si>
    <t>TelephonyDeviceID ::= OCTET STRING; Unique identifier for the telephony device. If this identifier happens to have a particular format (e.g. IMEI), then this may be indicated using deviceIDType (see TS 102 657 Table B.9).</t>
  </si>
  <si>
    <t>TelephonySubscriberId ::= UTF8String; Identifier for a known user of this equipment. 
Identity of a known user of this equipment.
This identity may be registered in cases where the provider has supplied the user with a device. It may also be recorded ad-hoc based on service usage data, depending on national legislation (see TS 102 657 Table B.9).</t>
  </si>
  <si>
    <t>nationalTelephonyDevice [4]</t>
  </si>
  <si>
    <t>deviceIDType</t>
  </si>
  <si>
    <t>unknown(0)</t>
  </si>
  <si>
    <t>imei(1)</t>
  </si>
  <si>
    <t>1 (=IMEI)</t>
  </si>
  <si>
    <t>macAddress(2)</t>
  </si>
  <si>
    <t>When the parameter subscriberID [3] of TelephonyDevice is supported, the CSP is requested to describe the properties (in particular the uniqueness, e.g. unique among all services offered by CSP vs. unique per service) and format of this parameter.</t>
  </si>
  <si>
    <t>Telephony Network Element</t>
  </si>
  <si>
    <t>SUPPORT OF THIS SET OF PARAMETERS IS NOT REQUIRED IN SWITZERLAND</t>
  </si>
  <si>
    <t>Message Record according to ETSI TS 102 657 v1.9.1 Annex C</t>
  </si>
  <si>
    <t>Message Subscriber</t>
  </si>
  <si>
    <t>MsgSubscriber</t>
  </si>
  <si>
    <t>validity [1]</t>
  </si>
  <si>
    <t>subscriberID [2]</t>
  </si>
  <si>
    <t>MsgSubscriberID ::= OCTET STRING
A unique identifier for this particular subscriber within the CSP (see TS 102 657 Table C.1).
A unique identifier for subscribers within a CSP. This could be an account name, subscriber number, or any other identification assigned by the CSP (see [2] Annex C.2.3).NOTE: It should be noted that the subscriberID in the Telephony Record, Multimedia Record, and Network Access Record is UTF8String.</t>
  </si>
  <si>
    <t>msgStores [3]</t>
  </si>
  <si>
    <t>[MsgStore]</t>
  </si>
  <si>
    <t>subscriber [4]</t>
  </si>
  <si>
    <t>paymentDetails [5]</t>
  </si>
  <si>
    <t>20080702000000Z</t>
  </si>
  <si>
    <t>NOTE: no sense to define a duration time for a subscription</t>
  </si>
  <si>
    <t xml:space="preserve">When the parameter subscriberID [2] of MsgSubscriber is supported, the CSP is requested to describe the properties (in particular the uniqueness, e.g. unique among all services offered by CSP vs. unique per service) and format of this parameter.
NOTE: In order to exploit this parameter, the LEMF/ISS has to take appropriate measures for its proper processing.
</t>
  </si>
  <si>
    <t xml:space="preserve">Kundeaccount
</t>
  </si>
  <si>
    <t>subscriberID [2] -&gt; MsgSubscriberID ::= OCTET STRING</t>
  </si>
  <si>
    <t>muellers_legal</t>
  </si>
  <si>
    <t>Warnung: Wild geraten!</t>
  </si>
  <si>
    <t>MsgStore</t>
  </si>
  <si>
    <t>NOTE 1: The CSP shall support those parameters which are relevant to describe the roles of parties in a communication service.</t>
  </si>
  <si>
    <t>NOTE 2: In the case a obliged provider is using parameters with a somewhat vague ETSI definition, upon request by PTSS the provider must provide a definition at the satisfaction of PTSS.</t>
  </si>
  <si>
    <t>msgStoreID [2]</t>
  </si>
  <si>
    <t>MsgStoreID ::= OCTET STRING
Unique identifier of the message store. Since not all IDs will necessarily be human readable, a generic byte string is used (see TS 102 657 Annex C.3, MsgStoreID) . This could be a mailbox name, or any other identification used by the CSP's message server (see TS 102 657 Annex C.2.5)</t>
  </si>
  <si>
    <t>aliases [3]</t>
  </si>
  <si>
    <t>SEQUENCE OF MsgAddress The complete list of all addresses that get delivered into this message store (see TS 102 657 Annex C.3, aliases).</t>
  </si>
  <si>
    <t>info@muellers.ch</t>
  </si>
  <si>
    <t>providerID [4]</t>
  </si>
  <si>
    <t>MsgProviderID ::= UTF8String; provided by PTSS.</t>
  </si>
  <si>
    <t>green.ch</t>
  </si>
  <si>
    <t>A unique identifier for the service provider. The format of this field is to</t>
  </si>
  <si>
    <t xml:space="preserve">be determined by national agreement. </t>
  </si>
  <si>
    <t>TimeSpan (validity)</t>
  </si>
  <si>
    <t>1 (=transfer)</t>
  </si>
  <si>
    <t>CH81 0023 5235 3302 5340 G</t>
  </si>
  <si>
    <t>UBSWCHZH80A</t>
  </si>
  <si>
    <t>UBS AG</t>
  </si>
  <si>
    <t>muellers_legal@greenmail.ch</t>
  </si>
  <si>
    <t>Message Service Usage</t>
  </si>
  <si>
    <t>MsgServiceUsage</t>
  </si>
  <si>
    <t>msgTransmission [1]</t>
  </si>
  <si>
    <t>[MsgTransmission]</t>
  </si>
  <si>
    <t>msgStoreOperation [2]</t>
  </si>
  <si>
    <t>[MsgStoreOperation]</t>
  </si>
  <si>
    <t>MsgTransmission</t>
  </si>
  <si>
    <t>dateTime [1]</t>
  </si>
  <si>
    <t>20101212115509Z</t>
  </si>
  <si>
    <t>senderAddress [3]</t>
  </si>
  <si>
    <t>MsgAddress ::= UTF8String</t>
  </si>
  <si>
    <t>recipients [4]</t>
  </si>
  <si>
    <t>SEQUENCE OF MsgAddress</t>
  </si>
  <si>
    <t>taxi@bluewin.ch</t>
  </si>
  <si>
    <t>msgStores [5]</t>
  </si>
  <si>
    <t>SEQUENCE OF MsgStoreID In the context of MsgTransmission (NOTE 2)
List of all local message stores that received a copy of the message. This is both relevant for incoming messages, and for outgoing messages that have a local recipient. (see TS 102 657 Table C.3).</t>
  </si>
  <si>
    <t>deliveryStatus [6]</t>
  </si>
  <si>
    <t>[deliveryStatus]</t>
  </si>
  <si>
    <t>protocol [7]</t>
  </si>
  <si>
    <t>[protocol]</t>
  </si>
  <si>
    <t>clientID [8]</t>
  </si>
  <si>
    <t>[IPAddress]</t>
  </si>
  <si>
    <t>serverID [9]</t>
  </si>
  <si>
    <t>messageID [10]</t>
  </si>
  <si>
    <t>MessageID ::= UTF8String; see NOTE 2 Unique identifier for this message. In the context of MsgTransmission. NOTE 3: Consideration is to be given whether or not a value could be overwritten.
Unique identifier for the message - for example RFC 0822 message id header (see TS 102 657 Table C.3).</t>
  </si>
  <si>
    <t>EXSMTP03ME8ttbD7eq300017746</t>
  </si>
  <si>
    <t>sourceServerName [11]</t>
  </si>
  <si>
    <t>exsmtp03.agrinet.ch</t>
  </si>
  <si>
    <t>destinationServerName [12]</t>
  </si>
  <si>
    <t>mxbw.bluewin.ch</t>
  </si>
  <si>
    <t xml:space="preserve">When the parameter subscriberID [2] of MsgTransmission is supported, the CSP is requested to describe the properties (in particular the uniqueness, e.g. unique among all services offered by CSP vs. unique per service) and format of this parameter.
NOTE: In order to exploit this parameter, the LEMF/ISS has to take appropriate measures for its proper processing.
</t>
  </si>
  <si>
    <t>Wild geraten: Name des Kundenaccounts</t>
  </si>
  <si>
    <t>deliveryStatus</t>
  </si>
  <si>
    <t>succeeded(1)</t>
  </si>
  <si>
    <t>1 (=suceeded)</t>
  </si>
  <si>
    <t>failed(2)</t>
  </si>
  <si>
    <t>retried(3)</t>
  </si>
  <si>
    <t>protocol</t>
  </si>
  <si>
    <t>smtp(0)</t>
  </si>
  <si>
    <t>0 (=smtp)</t>
  </si>
  <si>
    <t>x400(1)</t>
  </si>
  <si>
    <t>IPAddress (clientID)</t>
  </si>
  <si>
    <t>iPv4BinaryAddress [1]</t>
  </si>
  <si>
    <t>OCTET STRING (SIZE(4))</t>
  </si>
  <si>
    <t>[81.221.254.202 in Binärdarstellung]</t>
  </si>
  <si>
    <t>iPv6BinaryAddress [2]</t>
  </si>
  <si>
    <t>OCTET STRING (SIZE(16))</t>
  </si>
  <si>
    <t>iPTextAddress [3]</t>
  </si>
  <si>
    <t>IA5String (SIZE(7..45)</t>
  </si>
  <si>
    <t>81.221.254.202</t>
  </si>
  <si>
    <t>IPAddress (serverID)</t>
  </si>
  <si>
    <t>[195.186.99.50 in Binärdarstellung]</t>
  </si>
  <si>
    <t>Achtung: Binärdaten ausgeschrieben</t>
  </si>
  <si>
    <t>195.186.99.50</t>
  </si>
  <si>
    <t>SMTP Server von bluewin.ch (mxzhb.bluewin.ch)</t>
  </si>
  <si>
    <t>MsgStoreOperation</t>
  </si>
  <si>
    <t>2010130610105410Z</t>
  </si>
  <si>
    <t>msgStore [3]</t>
  </si>
  <si>
    <t>MsgStoreID ::= OCTET STRING In the context of MsgStoreOperation (NOTE 2):
Unique identifier of the message store being manipulated. (see TS 102 657 Table C.4).</t>
  </si>
  <si>
    <t>operation [4]</t>
  </si>
  <si>
    <t>[operation]</t>
  </si>
  <si>
    <t>senderAddress [5]</t>
  </si>
  <si>
    <t>recipients [6]</t>
  </si>
  <si>
    <t>&lt;3A30B93F-2C2F-424B-B24B-320265625A7E@mimectl&gt;</t>
  </si>
  <si>
    <t xml:space="preserve">When the parameter subscriberID [2] of MsgStoreOperation is supported, the CSP is requested to describe the properties (in particular the uniqueness, e.g. unique among all services offered by CSP vs. unique per service) and format of this parameter.
NOTE: In order to exploit this parameter, the LEMF/ISS has to take appropriate measures for its proper processing.
</t>
  </si>
  <si>
    <t>operation</t>
  </si>
  <si>
    <t>connect(0)</t>
  </si>
  <si>
    <t>Successful authorization for access to msgStore</t>
  </si>
  <si>
    <t>disconnect(1)</t>
  </si>
  <si>
    <t>retrieveMsg(2)</t>
  </si>
  <si>
    <t>Viewing msg using a webmail client is also considered retrieval</t>
  </si>
  <si>
    <t>partialretrieveMsg(3)</t>
  </si>
  <si>
    <t>the TOP command in POP3</t>
  </si>
  <si>
    <t>deleteMsg(4)</t>
  </si>
  <si>
    <t>addMsg(5)</t>
  </si>
  <si>
    <t>the APPEND command in IMAP</t>
  </si>
  <si>
    <t>5 (=addMsg)</t>
  </si>
  <si>
    <t>editMsg(6)</t>
  </si>
  <si>
    <t>pop(0)</t>
  </si>
  <si>
    <t>imap(1)</t>
  </si>
  <si>
    <t>webmail(2)</t>
  </si>
  <si>
    <t>2 (=webmail)</t>
  </si>
  <si>
    <t xml:space="preserve">[81.6.30.99 in Binärdarstellung] </t>
  </si>
  <si>
    <t>81.6.30.99</t>
  </si>
  <si>
    <t>[81.221.254.194 in Binärdarstellung]</t>
  </si>
  <si>
    <t>81.221.254.194</t>
  </si>
  <si>
    <t>Message Billing Details</t>
  </si>
  <si>
    <t>MsgBillingDetails</t>
  </si>
  <si>
    <t>MsgSubscriberId ::= OCTET STRING A unique identifier for subscribers within a CSP. This could be an account name, subscriber number, or any other identification assigned by the CSP (see TS 102 657 Annex C.2.3).
NOTE: It should be noted that the subscriberID in the Telephony Record, Multimedia Record, and Network Access Record is UTF8String.</t>
  </si>
  <si>
    <t>UTF8String
NOTE For Mesaging Services there is no definition available in TS 102 657 like for other services (e.g. Telephony). In relation to the Message Subscription such a parameter does even not exist.</t>
  </si>
  <si>
    <t>MsgBillingIdentifier ::= OCTET STRING; Used to correlate billing information
useful if the bill-payer is not the subscriber, e.g. company mobiles</t>
  </si>
  <si>
    <t>[billingIdentifier]</t>
  </si>
  <si>
    <t>[BillingRecord]</t>
  </si>
  <si>
    <t>nationalMsgBillingDetails [6]</t>
  </si>
  <si>
    <t>When the parameter subscriberID [1] of MsgBillingDetailsNOTE: In order to exploit this parameter, the LEMF/ISS has to take appropriate measures for its proper processing.NOTE: In order to exploit this parameter, the LEMF/ISS has to take appropriate measures for its proper processing.</t>
  </si>
  <si>
    <t>subscriberID [1] -&gt; MsgSubscriberID ::= OCTET STRING</t>
  </si>
  <si>
    <t xml:space="preserve">When the parameter serviceID [2] of MsgBillingDetails is supported, the CSP is requested to describe the properties and format of this parameter.
is supported, the CSP is requested to describe the properties and format of this parameter.
NOTE: In order to exploit this parameter, the LEMF/ISS has to take appropriate measures for its proper processing.
</t>
  </si>
  <si>
    <t>greenBusinessEmail201004</t>
  </si>
  <si>
    <t xml:space="preserve">When the parameter billingIdentifier [4] of MsgBillingDetails is supported, the CSP is requested to describe the properties (in particular the uniqueness, e.g. unique among all services offered by CSP vs. unique per service) and format of this parameter.
NOTE: In order to exploit this parameter, the LEMF/ISS has to take appropriate measures for its proper processing.
</t>
  </si>
  <si>
    <t>billingIdentifier [4] -&gt; MsgBillingIdentifier ::= OCTET STRING</t>
  </si>
  <si>
    <t xml:space="preserve">a) A unique identifier for billing purposes. The format of this field is for CSPs to determine. 
b) -- Used to correlate billing information
    -- useful if the bill-payer is not the subscriber, e.g. company mobiles </t>
  </si>
  <si>
    <t>ContactDetails (billingAddress)</t>
  </si>
  <si>
    <t>20130515135258Z</t>
  </si>
  <si>
    <t xml:space="preserve">Location of the payment. </t>
  </si>
  <si>
    <t>CHF</t>
  </si>
  <si>
    <t>transfer</t>
  </si>
  <si>
    <t>msgTransactionID [7]</t>
  </si>
  <si>
    <t>See TS 102 657 Annex C.3, MsgBillingRecords:
-- Unique reference for this transaction/billing record
-- Details to be defined on a national basis
NOTE: When Prosecution wants to investigate, they should call the obligation to disclose (Editionspflicht) of the provider of the service (e.g. invoice center). The exchange of such information is outside the scope of HI-A and HI-B.</t>
  </si>
  <si>
    <t>msgTransactionStatus [8]</t>
  </si>
  <si>
    <t>Multimedia Record according to ETSI TS 102 657 v1.9.1 Annex D</t>
  </si>
  <si>
    <t>Multimedia Subscriber</t>
  </si>
  <si>
    <t>MultimediaSubscriber</t>
  </si>
  <si>
    <t>MultimediaSubscriberID ::= UTF8String
A unique identifier for this particular subscriber within the CSP (see TS 102 657 Table D.1)
subscriberID is a unique identifier for a particular subscriber within a CSP, for example an account number. The format and content of this field is for CSPs to determine. The only requirement is that the subscriber ID is unique for each subscriber within the CSP. (see TS 102 657 Annex D.2.2.1).
NOTE: It should be noted that the subscriberID in the Message Record is OCTET STRING.</t>
  </si>
  <si>
    <t>multimediaSubscriberInfo [3]</t>
  </si>
  <si>
    <t>subscribedMultimediaServices [4]</t>
  </si>
  <si>
    <t>[SubsriberMultimediaServices]</t>
  </si>
  <si>
    <t>When the parameter subscriberID [1] of MultimediaSubscriberNOTE: In order to exploit this parameter, the LEMF/ISS has to take appropriate measures for its proper processing.NOTE: In order to exploit this parameter, the LEMF/ISS has to take appropriate measures for its proper processing.</t>
  </si>
  <si>
    <t xml:space="preserve">Kundenaccount
</t>
  </si>
  <si>
    <t>subscriberID [1] -&gt; MultimediaSubscriberID ::= UTF8String</t>
  </si>
  <si>
    <t>SubscribedMultimediaServices</t>
  </si>
  <si>
    <t>UTF8String
A unique identifier within the operator for the service or tariff subscribed to (according to TS 102 657 Table D.2)</t>
  </si>
  <si>
    <t>Unique identifier for the CSP</t>
  </si>
  <si>
    <t>winet.ch</t>
  </si>
  <si>
    <t xml:space="preserve">A unique identifier for the service provider. The format of this field is to be determined by national agreement. </t>
  </si>
  <si>
    <t>registeredIdentifiers [4]</t>
  </si>
  <si>
    <t>The set of identifiers registered for this service. SEQUENCE OF E164 address in international format, or SIP URI or TEL URI.</t>
  </si>
  <si>
    <t>[MultimediaServiceType]</t>
  </si>
  <si>
    <t>[Addressinformation]</t>
  </si>
  <si>
    <t>200805012000000Z</t>
  </si>
  <si>
    <t>nationalMultimediaServices [12]</t>
  </si>
  <si>
    <t>paymentDetails [13]</t>
  </si>
  <si>
    <t>When the parameter serviceID [1]NOTE: In order to exploit this parameter, the LEMF/ISS has to take appropriate measures for its proper processing.NOTE: In order to exploit this parameter, the LEMF/ISS has to take appropriate measures for its proper processing.</t>
  </si>
  <si>
    <t>MyPhone_Budget_2008</t>
  </si>
  <si>
    <t>Start data, if applicable, of the subscription</t>
  </si>
  <si>
    <t>200804302000000Z</t>
  </si>
  <si>
    <t>End data, if applicable, of the subscription</t>
  </si>
  <si>
    <t>MultimediaServiceType</t>
  </si>
  <si>
    <t>0 (=private)</t>
  </si>
  <si>
    <t>geographicalfixed (3)</t>
  </si>
  <si>
    <t>geographicalindependent(4)</t>
  </si>
  <si>
    <t>AddressInformation (installationAddress).</t>
  </si>
  <si>
    <t>ContactDetails(paymentDetails)(paymentDetails)</t>
  </si>
  <si>
    <t>Start data, if applicable, of the payment</t>
  </si>
  <si>
    <t>End data, if applicable, of the payment</t>
  </si>
  <si>
    <t>Multimedia Service Usage</t>
  </si>
  <si>
    <t>MultimediaServiceUsage</t>
  </si>
  <si>
    <t>[MultimediaPartyInformation]</t>
  </si>
  <si>
    <t>reasonCause [3]</t>
  </si>
  <si>
    <t>communicationType [4]</t>
  </si>
  <si>
    <t>[MultimediaCommunicationType]</t>
  </si>
  <si>
    <t>bearerService [5]</t>
  </si>
  <si>
    <t>[MulgimediaBearerService]</t>
  </si>
  <si>
    <t>qualityOfService [6]</t>
  </si>
  <si>
    <t>ringDuration [7]</t>
  </si>
  <si>
    <t>callID [8]</t>
  </si>
  <si>
    <t>originalCallID [9]</t>
  </si>
  <si>
    <t>callState [10]</t>
  </si>
  <si>
    <t>answerTime [11]</t>
  </si>
  <si>
    <t>20130612132517Z</t>
  </si>
  <si>
    <t>contentType [12]</t>
  </si>
  <si>
    <t>SEQUENCE OF UTF8String</t>
  </si>
  <si>
    <t>application/sdp</t>
  </si>
  <si>
    <t>mediaComponents [13]</t>
  </si>
  <si>
    <t>[MediaComponent]</t>
  </si>
  <si>
    <t>imsInformation [14]</t>
  </si>
  <si>
    <t>[ImsInformation]</t>
  </si>
  <si>
    <t>nationalMultimediaServiceUsage [15]</t>
  </si>
  <si>
    <t>serviceID [16]</t>
  </si>
  <si>
    <t>UTF8String A unique identifier within the operator for the service or tariff (according to TS 102 657 Table D.5)</t>
  </si>
  <si>
    <t>[serivceID]</t>
  </si>
  <si>
    <t>providerID [17]</t>
  </si>
  <si>
    <t>When the parameter serviceID [16] of MultimediaServiceUsageNOTE: In order to exploit this parameter, the LEMF/ISS has to take appropriate measures for its proper processing.NOTE: In order to exploit this parameter, the LEMF/ISS has to take appropriate measures for its proper processing.</t>
  </si>
  <si>
    <t>serviceID [16] ::= UTF8String</t>
  </si>
  <si>
    <t>MultimediaPartyInformation</t>
  </si>
  <si>
    <t>[MultimediaPartyRole]</t>
  </si>
  <si>
    <t xml:space="preserve">PartyIdentity ::= UTF8String The system shall provide the parameter partyIdentity [2] (E164 address in international format, or SIP URL or TEL URL representing E.164 address in UTF8String format) in each set of PartyInformation parameters associated with the respective party involved in the communication.
NOTE 1: When the partyIdentity [2] is a E.164 address, the partyNumber [9], when present, takes the same value.
NOTE 2: When the partyIdentity [2] is a SIP URI, or TEL URI, the uRI [8], when present, takes the same value.
</t>
  </si>
  <si>
    <t>MultimediaSubscriberID ::= UTF8String
Subscriber identifier, unique identifier for subscriber (see TS 102 657 clause D.2.2.1).
subscriberID is a unique identifier for a particular subscriber within a CSP, for example an account number. The format and content of this field is for CSPs to determine. The only requirement is that the subscriber ID is unique for each subscriber within the CSP. (see TS 102 657 Annex D.2.2.1).
NOTE: It should be noted that the subscriberID in the Message Record is OCTET STRING.</t>
  </si>
  <si>
    <t>communicationTime [4]</t>
  </si>
  <si>
    <t>iCCID [5]</t>
  </si>
  <si>
    <t>iMSI [6]</t>
  </si>
  <si>
    <t>natureOfAddress [7]</t>
  </si>
  <si>
    <t xml:space="preserve">Nature of the address - may be "International number", "national number" or "subscriber number". </t>
  </si>
  <si>
    <t>uRI [8]</t>
  </si>
  <si>
    <t>UTF8String NOTE: When the uRI [8] is present, it takes the same value as the partyIdentity [2] which is a SIP URI, or TEL URI.
NOTE: When the partyNumber [9] is present, it takes the same value as the partyIdentity [2] which is an E.164 address.</t>
  </si>
  <si>
    <t>partyNumber [9]</t>
  </si>
  <si>
    <t>UTF8String NOTE: When the partyNumber [9] is present, it takes the same value as the partyIdentity [2] which is an E.164 address.</t>
  </si>
  <si>
    <t>naAssignedAddress [10]</t>
  </si>
  <si>
    <t>[NAAssignedAddress]</t>
  </si>
  <si>
    <t>forwardedTransferredIdentifier [11]</t>
  </si>
  <si>
    <t>E164 address in international format, or SIP URI or TEL URI</t>
  </si>
  <si>
    <t>terminatingTransferredIdentifier [12]</t>
  </si>
  <si>
    <t>nationalMultimediaPartyInformation [13]</t>
  </si>
  <si>
    <t>userAgent [14]</t>
  </si>
  <si>
    <t>octetsUploaded [15]</t>
  </si>
  <si>
    <t>octetsDownloaded [16]</t>
  </si>
  <si>
    <t>When the parameter subscriberID [3] of MultimediaPartyInformationNOTE: In order to exploit this parameter, the LEMF/ISS has to take appropriate measures for its proper processing.NOTE: In order to exploit this parameter, the LEMF/ISS has to take appropriate measures for its proper processing.</t>
  </si>
  <si>
    <t>subscriberID [3] -&gt; MultimediaSubscriberID ::= UTF8String</t>
  </si>
  <si>
    <t>MultimediaPartyRole</t>
  </si>
  <si>
    <t>calling(0)</t>
  </si>
  <si>
    <t>called(1)</t>
  </si>
  <si>
    <t>1 (=called)</t>
  </si>
  <si>
    <t>calledAssertedIdentity (2)</t>
  </si>
  <si>
    <t>calledApplicationServer (3)</t>
  </si>
  <si>
    <t>originalCalled(4)</t>
  </si>
  <si>
    <t>redirecting(5)</t>
  </si>
  <si>
    <t>multimediaNetworkIndependent (6)</t>
  </si>
  <si>
    <t>directory(7)</t>
  </si>
  <si>
    <t>BroadcastReceiver (8)</t>
  </si>
  <si>
    <t>broadcastSender(9)</t>
  </si>
  <si>
    <t>20130612132916Z</t>
  </si>
  <si>
    <t>NAAssignedAddress</t>
  </si>
  <si>
    <t>addressSetOrRangeOrMask [1]</t>
  </si>
  <si>
    <t>[IPAddressSetOrRangeOrMask]</t>
  </si>
  <si>
    <t>portNumber [2]</t>
  </si>
  <si>
    <t>Outbound port number</t>
  </si>
  <si>
    <t>addressType [3] ENUMERATED</t>
  </si>
  <si>
    <t>0 (=unkonwn)</t>
  </si>
  <si>
    <t>internal(1)</t>
  </si>
  <si>
    <t>external(2)</t>
  </si>
  <si>
    <t>assignedTime [4]</t>
  </si>
  <si>
    <t>destinationAddress [5]</t>
  </si>
  <si>
    <t xml:space="preserve">[IPAddress]
</t>
  </si>
  <si>
    <t>destinationPort [6]</t>
  </si>
  <si>
    <t>used in cases where a single external IP/port pair is translated to multiple internal IP/port pairs, with the destination IP/port used to multiplex them</t>
  </si>
  <si>
    <t>IPAddressSetOrRangeOrMask</t>
  </si>
  <si>
    <t>set [0]</t>
  </si>
  <si>
    <t>range [1]</t>
  </si>
  <si>
    <t>[IPRange]</t>
  </si>
  <si>
    <t>mask [2]</t>
  </si>
  <si>
    <t>[IPMask]</t>
  </si>
  <si>
    <t>IPAddress</t>
  </si>
  <si>
    <t>[194.22.89.12 in Binärdarstellung]</t>
  </si>
  <si>
    <t>194.22.89.12</t>
  </si>
  <si>
    <t>IPRange</t>
  </si>
  <si>
    <t>prefix [1]</t>
  </si>
  <si>
    <t>subnetLength [2]</t>
  </si>
  <si>
    <t>INTEGER (1..128)</t>
  </si>
  <si>
    <t>IPAddress (prefix)</t>
  </si>
  <si>
    <t>[194.22.89.0 in Binärdarstellung]</t>
  </si>
  <si>
    <t>IPMask</t>
  </si>
  <si>
    <t>base [0]</t>
  </si>
  <si>
    <t>mask [1]</t>
  </si>
  <si>
    <t>IPAddress (base)</t>
  </si>
  <si>
    <t>194.22.89.0</t>
  </si>
  <si>
    <t>IPAddress (mask)</t>
  </si>
  <si>
    <t>[255.255.255.0 in Binärdarstellung]</t>
  </si>
  <si>
    <t>255.255.255.0</t>
  </si>
  <si>
    <t>TimeSpan(assignedTime)(assignedTime)</t>
  </si>
  <si>
    <t>20130522141556Z</t>
  </si>
  <si>
    <t>20130723152552Z</t>
  </si>
  <si>
    <t>IPAddress (destinationAddress)</t>
  </si>
  <si>
    <t>MultimediaCommunicationType</t>
  </si>
  <si>
    <t>multimediaFixed(0)</t>
  </si>
  <si>
    <t>0 (=fixed)</t>
  </si>
  <si>
    <t>multimediaWireless(1)</t>
  </si>
  <si>
    <t>multimediaNetworkIndependent(2)</t>
  </si>
  <si>
    <t>MultimediaBearerService</t>
  </si>
  <si>
    <t>video(3)</t>
  </si>
  <si>
    <t>emergencyCall(4)</t>
  </si>
  <si>
    <t>MediaComponent</t>
  </si>
  <si>
    <t>mediaName [2]</t>
  </si>
  <si>
    <t>This field holds the name of the media as available in the SDP data</t>
  </si>
  <si>
    <t>audio</t>
  </si>
  <si>
    <t>mediaDescription [3]</t>
  </si>
  <si>
    <t>This field holds the attributes of the media as available in the SDP data.</t>
  </si>
  <si>
    <t>49170 RTP/AVP 0</t>
  </si>
  <si>
    <t>http://en.wikipedia.org/wiki/Session_Description_Protocol</t>
  </si>
  <si>
    <t>mediaInitiator [4]</t>
  </si>
  <si>
    <t>This field indicates if the called party has requested the session modification and it is present only if the initiator was the called party.</t>
  </si>
  <si>
    <t>accessCorrelationID [5]</t>
  </si>
  <si>
    <t>This parameter holds the charging identifier from the access network, consisting of either GPRS charging ID (GCID) which is generated by the GGSN for a GPRS PDP context, Charging Id which is generated by P-GW for IP-CAN bearer or the Access Network Charging Identifier Value which is generated by another type of access network.</t>
  </si>
  <si>
    <t>nationalMultimediaMediaComponent [6]</t>
  </si>
  <si>
    <t>ImsInformation</t>
  </si>
  <si>
    <t>service [1] ENUMERATED</t>
  </si>
  <si>
    <t>session (1)</t>
  </si>
  <si>
    <t>the record describes a SIP session (it is identified by the SIP method INVITE)</t>
  </si>
  <si>
    <t>1 (=session)</t>
  </si>
  <si>
    <t>message (2)</t>
  </si>
  <si>
    <t>the record describes a message transfer (it is identified by the SIP method MESSAGE</t>
  </si>
  <si>
    <t>refer (3)</t>
  </si>
  <si>
    <t>the record describes a request to initiate a session transfer procedure (it is identified by the SIP method REFER</t>
  </si>
  <si>
    <t>roleOfNode [2] ENUMERATED</t>
  </si>
  <si>
    <t>originating(1)</t>
  </si>
  <si>
    <t>1 (=originating)</t>
  </si>
  <si>
    <t>terminating(2)</t>
  </si>
  <si>
    <t>proxy(3)</t>
  </si>
  <si>
    <t>b2bua(4)</t>
  </si>
  <si>
    <t>serviceInfo [3]</t>
  </si>
  <si>
    <t>Multimedia Billing Details</t>
  </si>
  <si>
    <t>MultimediaBillingDetails</t>
  </si>
  <si>
    <t>MultimediaSubscriberID ::= UTF8String 
A unique identifier for a particular subscriber within a CSP. (see TS 102 657 Table D.3).
subscriberID is a unique identifier for a particular subscriber within a CSP, for example an account number. The format and content of this field is for CSPs to determine. The only requirement is that the subscriber ID is unique for each subscriber within the CSP. (see TS 102 657 Annex D.2.2.1).</t>
  </si>
  <si>
    <t>UTF8String
A unique identifier within the operator for the service or tariff subscribed to (according to TS 102 657 Table D.3)</t>
  </si>
  <si>
    <t>A unique identifier for billing purposes. The format of this field is for CSPs to determine (see TS 102 657 Table D.3).
Used to correlate billing information, useful if the bill-payer is not the subscriber, e.g. company mobiles (see TS 102 657 Annex D.3 MultimediaBillingIdentifier).</t>
  </si>
  <si>
    <t>nationalMultimediaBillingDetails [6]</t>
  </si>
  <si>
    <t>When the parameter subscriberID [1] of MultimediaBillingDetailsNOTE: In order to exploit this parameter, the LEMF/ISS has to take appropriate measures for its proper processing.NOTE: In order to exploit this parameter, the LEMF/ISS has to take appropriate measures for its proper processing.</t>
  </si>
  <si>
    <t>When the parameter serviceID [2] of MultimediaBillingDetailsNOTE: In order to exploit this parameter, the LEMF/ISS has to take appropriate measures for its proper processing.NOTE: In order to exploit this parameter, the LEMF/ISS has to take appropriate measures for its proper processing.</t>
  </si>
  <si>
    <t>serviceID [2] ::= UTF8String</t>
  </si>
  <si>
    <t>When the parameter billingIdentifier [4] of MultimediaBillingDetailsNOTE: In order to exploit this parameter, the LEMF/ISS has to take appropriate measures for its proper processing.NOTE: In order to exploit this parameter, the LEMF/ISS has to take appropriate measures for its proper processing.</t>
  </si>
  <si>
    <t>billingIdentifier [4] -&gt; MultimediaBillingIdentifier ::= OCTET STRING</t>
  </si>
  <si>
    <t>MultimediaBillingRecords</t>
  </si>
  <si>
    <t>20130515135510Z</t>
  </si>
  <si>
    <t>nationalMultimediaBillingRecords [6]</t>
  </si>
  <si>
    <t>multimediaTransactionID [7]</t>
  </si>
  <si>
    <t>See TS 102 657 Annex D.3, BillingRecords:
-- Unique reference for this transaction/billing record
-- Details to be defined on a national basis
NOTE: When Prosecution wants to investigate, they should call the obligation to disclose (Editionspflicht) of the provider of the service (e.g. invoice center). The exchange of such information is outside the scope of HI-A and HI-B.</t>
  </si>
  <si>
    <t>multimediaTransactionStatus [8]</t>
  </si>
  <si>
    <t>Network Access Record according to ETSI TS 102 657 v1.9.1 Annex E</t>
  </si>
  <si>
    <t>Network Access Subscriber</t>
  </si>
  <si>
    <t>NASubscriber</t>
  </si>
  <si>
    <t>NASubscriberID ::= UTF8String
A unique identifier for this particular subscriber within the CSP (see TS 102 657 Table E.1).
Intended purpose of this parameter in a search routine: Subscriber record with matching subscriber id is returned. (see TS 102 657 Annex F.4.1).</t>
  </si>
  <si>
    <t>naSubscriptions [3]</t>
  </si>
  <si>
    <t>[NAServiceSubscription]</t>
  </si>
  <si>
    <t>allocatedDeviceIDs [4]</t>
  </si>
  <si>
    <t>R (if it is an asset administred by the CSP)</t>
  </si>
  <si>
    <t>NADeviceId ::= UTF8String
List of all known devices allocated to this user for this subscription. The user may use other devices in addition (or instead of) these devices. (according to TS 102 675 Table E.2).
This structure contains information on the device used by the subscriber to access the service. It is allowed to use the MAC address, DSL ID, or other ID as the device ID (naDeviceId). MAC addresses can often be changed. If the MAC address is used as the primary device ID, then naDeviceId cannot be guaranteed to be unique (two devices could have the same MAC address) (see TS 102 657 Annex E.2.5).</t>
  </si>
  <si>
    <t>[allocatedDeviceIDs]</t>
  </si>
  <si>
    <t>subscriber [5]</t>
  </si>
  <si>
    <t xml:space="preserve">When the parameter subscriberID [2] of NASubscriber is supported, the CSP is requested to describe the properties (in particular the uniqueness, e.g. unique among all services offered by CSP vs. unique per service) and format of this parameter.
NOTE: In order to exploit this parameter, the LEMF/ISS has to take appropriate measures for its proper processing.
</t>
  </si>
  <si>
    <t xml:space="preserve">Kundennummer
</t>
  </si>
  <si>
    <t>subscriberID [2] -&gt; NaSubscriberID ::= UTF8String</t>
  </si>
  <si>
    <t>456-848-111</t>
  </si>
  <si>
    <t>When the parameter allocatedDeviceIDs [9] of NASubscriberand format of this parameter.
and format of this parameter.
NOTE: In order to exploit this parameter, the LEMF/ISS has to take appropriate measures for its proper processing.</t>
  </si>
  <si>
    <t>MAC Adresse des Kabelmodem</t>
  </si>
  <si>
    <t>allocatedDeviceIDs [4] -&gt; NADeviceId ::= UTF8String</t>
  </si>
  <si>
    <t>00:01:5C:31:4F:D5</t>
  </si>
  <si>
    <t>NAServiceSubscription</t>
  </si>
  <si>
    <t>NAserviceID [2]</t>
  </si>
  <si>
    <t>UTF8String
A unique identifier within the operator for the service or tariff subscribed to (according to TS 102 657 Table E.2)
NOTE: It should be noted that for all other services and even Network Access Biling, the name of this parameter is “serviceID”.</t>
  </si>
  <si>
    <t>[naServiceID]</t>
  </si>
  <si>
    <t>NAproviderID [3]</t>
  </si>
  <si>
    <t>Unique identifier for the CSP, Operator-ID</t>
  </si>
  <si>
    <t>cablecom.ch</t>
  </si>
  <si>
    <t>naAuthID [4]</t>
  </si>
  <si>
    <t>NAAuthID ::= UTF8String logon</t>
  </si>
  <si>
    <t>muellers_legal@hispeed.ch</t>
  </si>
  <si>
    <t>options [5]</t>
  </si>
  <si>
    <t>UTF8String
Human readable text with restrictions or options to the subscription (see TS 102 657 Annex E.3, NAServiceSubscription).
An optional human readable text with restrictions or options to the subscription, e.g. "fixed IP address; max 50 hr/month". (see TS 102 657 Table E.2).</t>
  </si>
  <si>
    <t>installationAddress [6]</t>
  </si>
  <si>
    <t>fixIpAddress [7]</t>
  </si>
  <si>
    <t>imsi [8]</t>
  </si>
  <si>
    <t>allocatedDeviceIDs [9]</t>
  </si>
  <si>
    <t>R If it is an asset administrated by the CSP</t>
  </si>
  <si>
    <t>NADeviceId ::= UTF8String
List of all known devices allocated to this user for this subscription. The user may use other devices in addition (or instead of) these devices. (according to TS 102 657 Table E.2).
This structure contains information on the device used by the subscriber to access the service. It is allowed to use the MAC address, DSL ID, or other ID as the device ID (naDeviceId). MAC addresses can often be changed. If the MAC address is used as the primary device ID, then naDeviceId cannot be guaranteed to be unique (two devices could have the same MAC address) (see TS 102 657 Annex E.2.5).</t>
  </si>
  <si>
    <t>naServiceStatus [10]</t>
  </si>
  <si>
    <t>UTF8String active, ceased, suspended, unknown, etc…</t>
  </si>
  <si>
    <t>active</t>
  </si>
  <si>
    <t>registeredICCID [11]</t>
  </si>
  <si>
    <t>http://en.wikipedia.org/wiki/ICCID#ICCID - bei Kabelanschluss wohl unbekannt/nicht zutreffend</t>
  </si>
  <si>
    <t>nationalNASubscription [12]</t>
  </si>
  <si>
    <t>additionalIPAddresses [14]</t>
  </si>
  <si>
    <t xml:space="preserve">When the parameter naServiceID [2] of NAServiceSubscription is supported, the CSP is requested to describe the properties (in particular the uniqueness, e.g. unique among all services offered by CSP vs. unique per service) and format of this parameter.
NOTE: In order to exploit this parameter, the LEMF/ISS has to take appropriate measures for its proper processing.
</t>
  </si>
  <si>
    <t>Highspeed Abo</t>
  </si>
  <si>
    <t>naServiceID [2] ::= UTF8String</t>
  </si>
  <si>
    <t>Fiber Power Internet 150</t>
  </si>
  <si>
    <t>When the parameter options [5] of NAServiceSubscription is supported, the CSP is requested to describe the properties and format of this parameter.
NOTE: In order to exploit this parameter, the LEMF/ISS has to take appropriate measures for its proper processing.</t>
  </si>
  <si>
    <t>options [5] ::= UTF8String</t>
  </si>
  <si>
    <t>When the parameter allocatedDeviceIDs [9] of NAServiceSubscriptionand format of this parameter.
and format of this parameter.
NOTE: In order to exploit this parameter, the LEMF/ISS has to take appropriate measures for its proper processing.</t>
  </si>
  <si>
    <t>allocatedDeviceIDs [9] -&gt; NADeviceId ::= UTF8String</t>
  </si>
  <si>
    <t>IPAddress (fixIpAddress)</t>
  </si>
  <si>
    <t>0 (=set)</t>
  </si>
  <si>
    <t>[46.127.34.23 in Binärdarstellung]</t>
  </si>
  <si>
    <t>46.127.34.23</t>
  </si>
  <si>
    <t>Network Access Service Usage</t>
  </si>
  <si>
    <t>NAServiceUsage</t>
  </si>
  <si>
    <t>naAccessTime [1]</t>
  </si>
  <si>
    <t>GeneralizedTime Time of connection to the Network Access Service</t>
  </si>
  <si>
    <t>20110412163433Z</t>
  </si>
  <si>
    <t>naAuthID [2]</t>
  </si>
  <si>
    <t>nwAccessType [3]</t>
  </si>
  <si>
    <t>[NwAccessType]</t>
  </si>
  <si>
    <t>naStatus [4] ENUMERATED</t>
  </si>
  <si>
    <t>Authentication OK and access granted</t>
  </si>
  <si>
    <t>1 (=succeeded)</t>
  </si>
  <si>
    <t>Authentication failure (wrong credentials or time out)</t>
  </si>
  <si>
    <t>rejected(3)</t>
  </si>
  <si>
    <t>Rejected by the CSP (e.g. usage limits exceeded)</t>
  </si>
  <si>
    <t>interval [5]</t>
  </si>
  <si>
    <t>naDeviceId [6]</t>
  </si>
  <si>
    <t>NADeviceId ::= UTF8String
Information on the device used to access the service (according to TS 102 657 Table E.3).
This structure contains information on the device used by the subscriber to access the service. It is allowed to use the MAC address, DSL ID, or other ID as the device ID (naDeviceId). MAC addresses can often be changed. If the MAC address is used as the primary device ID, then naDeviceId cannot be guaranteed to be unique (two devices could have the same MAC address) (see TS 102 657 Annex E.2.5).
Intended purpose of this parameter in a search routine: Usage records containing the given device ID will be returned. (see TS 102 657 Annex F.4.2).</t>
  </si>
  <si>
    <t xml:space="preserve">
[NADeviceId]</t>
  </si>
  <si>
    <t>naNwElementID [7]</t>
  </si>
  <si>
    <t>naAssignedAddress [8]</t>
  </si>
  <si>
    <t>location [9]</t>
  </si>
  <si>
    <t>dialUpInformation [10]</t>
  </si>
  <si>
    <t>[DialUpInformation]</t>
  </si>
  <si>
    <t>gprsInformation [11]</t>
  </si>
  <si>
    <t>[GprsInformation]</t>
  </si>
  <si>
    <t>octetsDownloaded [12]</t>
  </si>
  <si>
    <t>octetsUploaded [13]</t>
  </si>
  <si>
    <t>endReason [14]</t>
  </si>
  <si>
    <t>subscriberID [15]</t>
  </si>
  <si>
    <t>NaSubscriberID ::= UTF8String
Identifier for a known user of this network access (see TS 102 657 Table E.3).</t>
  </si>
  <si>
    <t>When the parameter naDeviceIDs [6] of NAServiceUsageand format of this parameter.
and format of this parameter.
NOTE: In order to exploit this parameter, the LEMF/ISS has to take appropriate measures for its proper processing.</t>
  </si>
  <si>
    <t>naDeviceID [6] -&gt; NADeviceId ::= UTF8String</t>
  </si>
  <si>
    <t>When the parameter subscriberID [15] of NAServiceUsageand format of this parameter.
and format of this parameter.
NOTE: In order to exploit this parameter, the LEMF/ISS has to take appropriate measures for its proper processing.</t>
  </si>
  <si>
    <t>subscriberID [15] -&gt; NASubscriberId ::= UTF8String</t>
  </si>
  <si>
    <t>NwAccessType</t>
  </si>
  <si>
    <t>undefined(0)</t>
  </si>
  <si>
    <t>dialUp(1)</t>
  </si>
  <si>
    <t>DialUp access</t>
  </si>
  <si>
    <t>xDSL(2)</t>
  </si>
  <si>
    <t>DSL access</t>
  </si>
  <si>
    <t>cableModem(3)</t>
  </si>
  <si>
    <t>Cable access</t>
  </si>
  <si>
    <t>3 (=cableModem)</t>
  </si>
  <si>
    <t>lAN(4)</t>
  </si>
  <si>
    <t>LAN access</t>
  </si>
  <si>
    <t>wirelessLAN(5)</t>
  </si>
  <si>
    <t>wimax(6)</t>
  </si>
  <si>
    <t>Network access over GSM/3GPP GPRS, UMTS, etc.</t>
  </si>
  <si>
    <t>mobilePacketData(7)</t>
  </si>
  <si>
    <t>TimeSpan(interval)(interval)</t>
  </si>
  <si>
    <t>20130701133433Z</t>
  </si>
  <si>
    <t>20130701202647Z</t>
  </si>
  <si>
    <t>2 (=external)</t>
  </si>
  <si>
    <t>TimeSpan (assignedTime)</t>
  </si>
  <si>
    <t>AddressInformation (postalLocation)</t>
  </si>
  <si>
    <t>DialUpInformation</t>
  </si>
  <si>
    <t>diallingNumber [1]</t>
  </si>
  <si>
    <t>PartyNumber ::= UTF8String Telephone number used for dial-up access</t>
  </si>
  <si>
    <t>dialledNumber [2]</t>
  </si>
  <si>
    <t>callback [3]</t>
  </si>
  <si>
    <t>PartyNumber ::= UTF8String Call back number used for dial-up access</t>
  </si>
  <si>
    <t>GprsInformation</t>
  </si>
  <si>
    <t>iMSI [1]</t>
  </si>
  <si>
    <t>IMSI ::= OCTET STRING (SIZE(3..8)</t>
  </si>
  <si>
    <t>mSISDN [2]</t>
  </si>
  <si>
    <t>sgsnAddress [3]</t>
  </si>
  <si>
    <t>ggsnAddress [4]</t>
  </si>
  <si>
    <t>pDP-address-allocated [5]</t>
  </si>
  <si>
    <t>aPN [6]</t>
  </si>
  <si>
    <t>pDP-type [7]</t>
  </si>
  <si>
    <t>Format per ETSI TS 101 671</t>
  </si>
  <si>
    <t>gPRSEvent [8]</t>
  </si>
  <si>
    <t>iCCID [9]</t>
  </si>
  <si>
    <t>IPAddress (pdp-address)</t>
  </si>
  <si>
    <t>https://en.wikipedia.org/wiki/GPRS_core_network#PDP_context</t>
  </si>
  <si>
    <t>Network Access Device</t>
  </si>
  <si>
    <t>NADevice</t>
  </si>
  <si>
    <t>naDeviceId [1]</t>
  </si>
  <si>
    <t>NADeviceId ::= UTF8String
Identifier of this device, e.g. the MAC address (according to TS 102 657 Table E.6).
This structure contains information on the device used by the subscriber to access the service. It is allowed to use the MAC address, DSL ID, or other ID as the device ID (naDeviceId). MAC addresses can often be changed. If the MAC address is used as the primary device ID, then naDeviceId cannot be guaranteed to be unique (two devices could have the same MAC address) (see TS 102 657 Annex E.2.5).</t>
  </si>
  <si>
    <t>[naDeviceID]</t>
  </si>
  <si>
    <t>description [2]</t>
  </si>
  <si>
    <t>UTF8String Human readable description of device.</t>
  </si>
  <si>
    <t>Thomson TWG 870</t>
  </si>
  <si>
    <t>location [3]</t>
  </si>
  <si>
    <t>macAddress [4]</t>
  </si>
  <si>
    <t>OCTET STRING (SIZE (6)) MAC or ethernet address</t>
  </si>
  <si>
    <t>dslID [5]</t>
  </si>
  <si>
    <t>imei [6]</t>
  </si>
  <si>
    <t>IMEI ::= OCTET STRING (SIZE(8))</t>
  </si>
  <si>
    <t>subscriberID [7]</t>
  </si>
  <si>
    <t>NaSubscriberID ::= UTF8String
Identifier for a known user of this device or equipment (see TS 102 657 Table E.6)</t>
  </si>
  <si>
    <t>When the parameter naDeviceIDs [1] of NADeviceand format of this parameter.
and format of this parameter.
NOTE: In order to exploit this parameter, the LEMF/ISS has to take appropriate measures for its proper processing.</t>
  </si>
  <si>
    <t>MAC Adresse</t>
  </si>
  <si>
    <t>naDeviceID [1] -&gt; NADeviceId ::= UTF8String</t>
  </si>
  <si>
    <t>When the parameter subscriberID [7] of NADeviceand format of this parameter.
and format of this parameter.
NOTE: In order to exploit this parameter, the LEMF/ISS has to take appropriate measures for its proper processing.</t>
  </si>
  <si>
    <t>Kundennummer</t>
  </si>
  <si>
    <t>subscriberID [7] -&gt; NASubscriberId ::= UTF8String</t>
  </si>
  <si>
    <t>Network Access Network Element</t>
  </si>
  <si>
    <t>NANwElement</t>
  </si>
  <si>
    <t>naNwElementID [2]</t>
  </si>
  <si>
    <t>naProviderID [3]</t>
  </si>
  <si>
    <t>supportedAccessTypes [4]</t>
  </si>
  <si>
    <t>location [5]</t>
  </si>
  <si>
    <t>Network Access Billing Details</t>
  </si>
  <si>
    <t>NABillingDetails</t>
  </si>
  <si>
    <t>NASubscriberID ::= UTF8String 
A unique identifier for a particular subscriber within a CSP. 
subscriberID is a unique identifier for a particular subscriber within a CSP, for example an account number. The format and content of this field is for CSPs to determine. The only requirement is that the subscriber ID is unique for each subscriber within the CSP.</t>
  </si>
  <si>
    <t>UTF8String
It should be noted that for Network Access Subscription the name of such a parameter is “naServiceID” (with definition in TS 102 657 Table E.2).</t>
  </si>
  <si>
    <t>BillingIdentifier ::= OCTET STRING A unique identifier for billing purposes. The format of this field is for CSPs to determine (see TS 102 657 Table E.3).</t>
  </si>
  <si>
    <t>naTransactionID [6]</t>
  </si>
  <si>
    <t>See TS 102 657 Annex E.3:
-- Unique reference for this transaction/billing record
-- Details to be defined on a national basis
NOTE: When Prosecution wants to investigate, they should call the obligation to disclose (Editionspflicht) of the provider of the service (e.g. invoice center). The exchange of such information is outside the scope of HI-A and HI-B.</t>
  </si>
  <si>
    <t>naTransactionStatus [7]</t>
  </si>
  <si>
    <t>See TS 102 657 Annex E.3:
-- Status of the transaction (i.e. “declined”, “succeeded” etc.)
-- Details to be defined on a national basis
NOTE: When Prosecution wants to investigate, they should call the obligation to disclose (Editionspflicht) of the provider of the service (e.g. invoice center). The exchange of such information is outside the scope of HI-A and HI-B.</t>
  </si>
  <si>
    <t>When the parameter subscriberID [1] of NABillingDetailsand format of this parameter.
and format of this parameter.
NOTE: In order to exploit this parameter, the LEMF/ISS has to take appropriate measures for its proper processing.</t>
  </si>
  <si>
    <t>subscriberID [1] -&gt; NASubscriberId ::= UTF8String</t>
  </si>
  <si>
    <t>When the parameter serviceID [2] of NABillingDetailsand format of this parameter.
and format of this parameter.
NOTE: In order to exploit this parameter, the LEMF/ISS has to take appropriate measures for its proper processing.</t>
  </si>
  <si>
    <t>When the parameter billingIdentifier [4] of NABillingDetailsand format of this parameter.
and format of this parameter.
NOTE: In order to exploit this parameter, the LEMF/ISS has to take appropriate measures for its proper processing.</t>
  </si>
  <si>
    <t>ContactDetails(billingDetails)(billingDetails)</t>
  </si>
  <si>
    <t>20090702000000Z</t>
  </si>
  <si>
    <t>NOTE: This sub-structure shall be changed by ETSI in the future as it leads to Telephony service "BillingRecords". Therefore the parameters tags [6], [7] and [8] do not apply to the Billing Records related to Network Access.</t>
  </si>
  <si>
    <t>20130615135510Z</t>
  </si>
  <si>
    <t>Document Control</t>
  </si>
  <si>
    <t>Issue Date</t>
  </si>
  <si>
    <t>Version</t>
  </si>
  <si>
    <t>Description &amp; Comments</t>
  </si>
  <si>
    <t>Initial edition of SoC ETSI TS 102 657 v1.9.1 parameters</t>
  </si>
  <si>
    <t>PTSS</t>
  </si>
  <si>
    <t>Published edition of SoC ETSI TS 102 657 v1.9.1 parameters</t>
  </si>
</sst>
</file>

<file path=xl/styles.xml><?xml version="1.0" encoding="utf-8"?>
<styleSheet xmlns="http://schemas.openxmlformats.org/spreadsheetml/2006/main">
  <numFmts count="10">
    <numFmt numFmtId="164" formatCode="GENERAL"/>
    <numFmt numFmtId="165" formatCode="0%"/>
    <numFmt numFmtId="166" formatCode="#,##0.00\ ;&quot;  (&quot;#,##0.00\);&quot; - &quot;;@\ "/>
    <numFmt numFmtId="167" formatCode="#,##0\ ;&quot;  (&quot;#,##0\);&quot; - &quot;;@\ "/>
    <numFmt numFmtId="168" formatCode="&quot;SFr. &quot;#,##0.00\ ;&quot;SFr. (&quot;#,##0.00\);&quot;SFr.- &quot;;@\ "/>
    <numFmt numFmtId="169" formatCode="&quot;SFr. &quot;#,##0\ ;&quot;SFr. (&quot;#,##0\);&quot;SFr.- &quot;;@\ "/>
    <numFmt numFmtId="170" formatCode="@"/>
    <numFmt numFmtId="171" formatCode="YYYY\-MM\-DD;@"/>
    <numFmt numFmtId="172" formatCode="M/D/YYYY;@"/>
    <numFmt numFmtId="173" formatCode="0.0"/>
  </numFmts>
  <fonts count="8">
    <font>
      <sz val="10"/>
      <name val="Arial"/>
      <family val="2"/>
    </font>
    <font>
      <b/>
      <u val="single"/>
      <sz val="11"/>
      <color indexed="8"/>
      <name val="Arial"/>
      <family val="2"/>
    </font>
    <font>
      <sz val="11"/>
      <color indexed="8"/>
      <name val="Arial"/>
      <family val="2"/>
    </font>
    <font>
      <sz val="10"/>
      <color indexed="8"/>
      <name val="Arial"/>
      <family val="2"/>
    </font>
    <font>
      <u val="single"/>
      <sz val="11"/>
      <color indexed="12"/>
      <name val="Arial"/>
      <family val="2"/>
    </font>
    <font>
      <b/>
      <sz val="10"/>
      <color indexed="8"/>
      <name val="Arial"/>
      <family val="2"/>
    </font>
    <font>
      <b/>
      <sz val="11"/>
      <color indexed="8"/>
      <name val="Arial"/>
      <family val="2"/>
    </font>
    <font>
      <sz val="10"/>
      <color indexed="10"/>
      <name val="Arial"/>
      <family val="2"/>
    </font>
  </fonts>
  <fills count="11">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0"/>
        <bgColor indexed="64"/>
      </patternFill>
    </fill>
    <fill>
      <patternFill patternType="solid">
        <fgColor indexed="10"/>
        <bgColor indexed="64"/>
      </patternFill>
    </fill>
    <fill>
      <patternFill patternType="solid">
        <fgColor indexed="31"/>
        <bgColor indexed="64"/>
      </patternFill>
    </fill>
  </fills>
  <borders count="13">
    <border>
      <left/>
      <right/>
      <top/>
      <bottom/>
      <diagonal/>
    </border>
    <border>
      <left>
        <color indexed="63"/>
      </left>
      <right>
        <color indexed="63"/>
      </right>
      <top>
        <color indexed="63"/>
      </top>
      <bottom style="medium">
        <color indexed="8"/>
      </bottom>
    </border>
    <border>
      <left>
        <color indexed="63"/>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
      <left>
        <color indexed="63"/>
      </left>
      <right>
        <color indexed="63"/>
      </right>
      <top style="medium">
        <color indexed="8"/>
      </top>
      <bottom style="medium">
        <color indexed="8"/>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s>
  <cellStyleXfs count="25">
    <xf numFmtId="164"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0" fillId="0" borderId="0" applyBorder="0">
      <alignment vertical="center"/>
      <protection/>
    </xf>
    <xf numFmtId="166" fontId="0" fillId="0" borderId="0" applyBorder="0">
      <alignment vertical="center"/>
      <protection/>
    </xf>
    <xf numFmtId="167" fontId="0" fillId="0" borderId="0" applyBorder="0">
      <alignment vertical="center"/>
      <protection/>
    </xf>
    <xf numFmtId="168" fontId="0" fillId="0" borderId="0" applyBorder="0">
      <alignment vertical="center"/>
      <protection/>
    </xf>
    <xf numFmtId="169" fontId="0" fillId="0" borderId="0" applyBorder="0">
      <alignment vertical="center"/>
      <protection/>
    </xf>
  </cellStyleXfs>
  <cellXfs count="137">
    <xf numFmtId="164" fontId="0" fillId="0" borderId="0" xfId="0" applyAlignment="1">
      <alignment vertical="center"/>
    </xf>
    <xf numFmtId="164" fontId="1" fillId="0" borderId="0" xfId="0" applyNumberFormat="1" applyFont="1" applyAlignment="1">
      <alignment/>
    </xf>
    <xf numFmtId="164" fontId="2" fillId="0" borderId="0" xfId="0" applyNumberFormat="1" applyFont="1" applyAlignment="1">
      <alignment horizontal="left" vertical="center" wrapText="1"/>
    </xf>
    <xf numFmtId="164" fontId="0" fillId="0" borderId="1" xfId="0" applyNumberFormat="1" applyFont="1" applyBorder="1" applyAlignment="1">
      <alignment wrapText="1"/>
    </xf>
    <xf numFmtId="164" fontId="0" fillId="0" borderId="2" xfId="0" applyNumberFormat="1" applyFont="1" applyBorder="1" applyAlignment="1">
      <alignment wrapText="1"/>
    </xf>
    <xf numFmtId="164" fontId="3" fillId="0" borderId="3" xfId="0" applyNumberFormat="1" applyFont="1" applyBorder="1" applyAlignment="1">
      <alignment horizontal="left" vertical="top" wrapText="1"/>
    </xf>
    <xf numFmtId="164" fontId="0" fillId="0" borderId="4" xfId="0" applyNumberFormat="1" applyFont="1" applyBorder="1" applyAlignment="1">
      <alignment wrapText="1"/>
    </xf>
    <xf numFmtId="164" fontId="2" fillId="0" borderId="3" xfId="0" applyNumberFormat="1" applyFont="1" applyBorder="1" applyAlignment="1">
      <alignment/>
    </xf>
    <xf numFmtId="164" fontId="0" fillId="0" borderId="5" xfId="0" applyNumberFormat="1" applyFont="1" applyBorder="1" applyAlignment="1">
      <alignment wrapText="1"/>
    </xf>
    <xf numFmtId="164" fontId="2" fillId="0" borderId="0" xfId="0" applyNumberFormat="1" applyFont="1" applyAlignment="1">
      <alignment/>
    </xf>
    <xf numFmtId="164" fontId="0" fillId="0" borderId="6" xfId="0" applyNumberFormat="1" applyFont="1" applyBorder="1" applyAlignment="1">
      <alignment wrapText="1"/>
    </xf>
    <xf numFmtId="164" fontId="2" fillId="0" borderId="7" xfId="0" applyNumberFormat="1" applyFont="1" applyBorder="1" applyAlignment="1">
      <alignment/>
    </xf>
    <xf numFmtId="164" fontId="3" fillId="0" borderId="7" xfId="0" applyNumberFormat="1" applyFont="1" applyBorder="1" applyAlignment="1">
      <alignment horizontal="left" vertical="top" wrapText="1"/>
    </xf>
    <xf numFmtId="164" fontId="2" fillId="0" borderId="1" xfId="0" applyNumberFormat="1" applyFont="1" applyBorder="1" applyAlignment="1">
      <alignment/>
    </xf>
    <xf numFmtId="164" fontId="2" fillId="0" borderId="2" xfId="0" applyNumberFormat="1" applyFont="1" applyBorder="1" applyAlignment="1">
      <alignment/>
    </xf>
    <xf numFmtId="164" fontId="2" fillId="0" borderId="4" xfId="0" applyNumberFormat="1" applyFont="1" applyBorder="1" applyAlignment="1">
      <alignment/>
    </xf>
    <xf numFmtId="164" fontId="2" fillId="0" borderId="5" xfId="0" applyNumberFormat="1" applyFont="1" applyBorder="1" applyAlignment="1">
      <alignment/>
    </xf>
    <xf numFmtId="164" fontId="2" fillId="0" borderId="0" xfId="0" applyNumberFormat="1" applyFont="1" applyAlignment="1">
      <alignment horizontal="left" vertical="top" wrapText="1"/>
    </xf>
    <xf numFmtId="164" fontId="3" fillId="2" borderId="3" xfId="0" applyNumberFormat="1" applyFont="1" applyFill="1" applyBorder="1" applyAlignment="1">
      <alignment horizontal="left" vertical="top" wrapText="1"/>
    </xf>
    <xf numFmtId="164" fontId="2" fillId="3" borderId="3" xfId="0" applyNumberFormat="1" applyFont="1" applyFill="1" applyBorder="1" applyAlignment="1">
      <alignment horizontal="center" vertical="center"/>
    </xf>
    <xf numFmtId="164" fontId="2" fillId="2" borderId="3" xfId="0" applyNumberFormat="1" applyFont="1" applyFill="1" applyBorder="1" applyAlignment="1">
      <alignment horizontal="center" vertical="center"/>
    </xf>
    <xf numFmtId="164" fontId="2" fillId="0" borderId="3" xfId="0" applyNumberFormat="1" applyFont="1" applyBorder="1" applyAlignment="1">
      <alignment horizontal="left" vertical="top"/>
    </xf>
    <xf numFmtId="164" fontId="2" fillId="2" borderId="3" xfId="0" applyNumberFormat="1" applyFont="1" applyFill="1" applyBorder="1" applyAlignment="1">
      <alignment/>
    </xf>
    <xf numFmtId="164" fontId="2" fillId="3" borderId="3" xfId="0" applyNumberFormat="1" applyFont="1" applyFill="1" applyBorder="1" applyAlignment="1">
      <alignment/>
    </xf>
    <xf numFmtId="164" fontId="2" fillId="2" borderId="3" xfId="0" applyNumberFormat="1" applyFont="1" applyFill="1" applyBorder="1" applyAlignment="1">
      <alignment horizontal="left" vertical="top" wrapText="1"/>
    </xf>
    <xf numFmtId="164" fontId="2" fillId="3" borderId="3" xfId="0" applyNumberFormat="1" applyFont="1" applyFill="1" applyBorder="1" applyAlignment="1">
      <alignment horizontal="left" vertical="top" wrapText="1"/>
    </xf>
    <xf numFmtId="164" fontId="2" fillId="0" borderId="3" xfId="0" applyNumberFormat="1" applyFont="1" applyBorder="1" applyAlignment="1">
      <alignment horizontal="left" vertical="top" wrapText="1"/>
    </xf>
    <xf numFmtId="164" fontId="4" fillId="4" borderId="3" xfId="0" applyNumberFormat="1" applyFont="1" applyFill="1" applyBorder="1" applyAlignment="1">
      <alignment horizontal="left" vertical="top" wrapText="1"/>
    </xf>
    <xf numFmtId="164" fontId="4" fillId="5" borderId="3" xfId="0" applyNumberFormat="1" applyFont="1" applyFill="1" applyBorder="1" applyAlignment="1">
      <alignment horizontal="left" vertical="top" wrapText="1"/>
    </xf>
    <xf numFmtId="164" fontId="0" fillId="0" borderId="7" xfId="0" applyNumberFormat="1" applyFont="1" applyBorder="1" applyAlignment="1">
      <alignment wrapText="1"/>
    </xf>
    <xf numFmtId="164" fontId="5" fillId="6" borderId="3" xfId="0" applyNumberFormat="1" applyFont="1" applyFill="1" applyBorder="1" applyAlignment="1">
      <alignment horizontal="left" vertical="top" wrapText="1"/>
    </xf>
    <xf numFmtId="164" fontId="2" fillId="6" borderId="3" xfId="0" applyNumberFormat="1" applyFont="1" applyFill="1" applyBorder="1" applyAlignment="1">
      <alignment horizontal="center" vertical="center"/>
    </xf>
    <xf numFmtId="164" fontId="2" fillId="0" borderId="8" xfId="0" applyNumberFormat="1" applyFont="1" applyBorder="1" applyAlignment="1">
      <alignment/>
    </xf>
    <xf numFmtId="164" fontId="2" fillId="6" borderId="3" xfId="0" applyNumberFormat="1" applyFont="1" applyFill="1" applyBorder="1" applyAlignment="1">
      <alignment/>
    </xf>
    <xf numFmtId="164" fontId="3" fillId="2" borderId="3" xfId="0" applyNumberFormat="1" applyFont="1" applyFill="1" applyBorder="1" applyAlignment="1">
      <alignment vertical="top" wrapText="1"/>
    </xf>
    <xf numFmtId="164" fontId="3" fillId="3" borderId="3" xfId="0" applyNumberFormat="1" applyFont="1" applyFill="1" applyBorder="1" applyAlignment="1">
      <alignment vertical="top" wrapText="1"/>
    </xf>
    <xf numFmtId="164" fontId="3" fillId="5" borderId="3" xfId="0" applyNumberFormat="1" applyFont="1" applyFill="1" applyBorder="1" applyAlignment="1">
      <alignment horizontal="left" vertical="top" wrapText="1"/>
    </xf>
    <xf numFmtId="164" fontId="3" fillId="3" borderId="3" xfId="0" applyNumberFormat="1" applyFont="1" applyFill="1" applyBorder="1" applyAlignment="1">
      <alignment horizontal="left" vertical="top" wrapText="1"/>
    </xf>
    <xf numFmtId="164" fontId="6" fillId="5" borderId="3" xfId="0" applyNumberFormat="1" applyFont="1" applyFill="1" applyBorder="1" applyAlignment="1">
      <alignment horizontal="left" vertical="top" wrapText="1"/>
    </xf>
    <xf numFmtId="164" fontId="2" fillId="0" borderId="0" xfId="0" applyNumberFormat="1" applyFont="1" applyAlignment="1">
      <alignment horizontal="left"/>
    </xf>
    <xf numFmtId="164" fontId="2" fillId="0" borderId="3" xfId="0" applyNumberFormat="1" applyFont="1" applyBorder="1" applyAlignment="1">
      <alignment horizontal="center" vertical="center"/>
    </xf>
    <xf numFmtId="164" fontId="2" fillId="0" borderId="3" xfId="0" applyNumberFormat="1" applyFont="1" applyBorder="1" applyAlignment="1">
      <alignment vertical="top" wrapText="1"/>
    </xf>
    <xf numFmtId="164" fontId="3" fillId="7" borderId="3" xfId="0" applyNumberFormat="1" applyFont="1" applyFill="1" applyBorder="1" applyAlignment="1">
      <alignment horizontal="left" vertical="top" wrapText="1"/>
    </xf>
    <xf numFmtId="164" fontId="2" fillId="7" borderId="3" xfId="0" applyNumberFormat="1" applyFont="1" applyFill="1" applyBorder="1" applyAlignment="1">
      <alignment horizontal="center" vertical="center"/>
    </xf>
    <xf numFmtId="164" fontId="2" fillId="7" borderId="3" xfId="0" applyNumberFormat="1" applyFont="1" applyFill="1" applyBorder="1" applyAlignment="1">
      <alignment/>
    </xf>
    <xf numFmtId="164" fontId="2" fillId="7" borderId="3" xfId="0" applyNumberFormat="1" applyFont="1" applyFill="1" applyBorder="1" applyAlignment="1">
      <alignment horizontal="left" vertical="top" wrapText="1"/>
    </xf>
    <xf numFmtId="164" fontId="2" fillId="7" borderId="3" xfId="0" applyNumberFormat="1" applyFont="1" applyFill="1" applyBorder="1" applyAlignment="1">
      <alignment vertical="top" wrapText="1"/>
    </xf>
    <xf numFmtId="164" fontId="0" fillId="0" borderId="0" xfId="0" applyFont="1" applyAlignment="1">
      <alignment vertical="center"/>
    </xf>
    <xf numFmtId="164" fontId="0" fillId="0" borderId="0" xfId="0" applyNumberFormat="1" applyFont="1" applyAlignment="1">
      <alignment horizontal="left" wrapText="1"/>
    </xf>
    <xf numFmtId="164" fontId="4" fillId="0" borderId="0" xfId="0" applyNumberFormat="1" applyFont="1" applyAlignment="1">
      <alignment/>
    </xf>
    <xf numFmtId="164" fontId="1" fillId="8" borderId="0" xfId="0" applyNumberFormat="1" applyFont="1" applyFill="1" applyAlignment="1">
      <alignment/>
    </xf>
    <xf numFmtId="164" fontId="2" fillId="8" borderId="0" xfId="0" applyNumberFormat="1" applyFont="1" applyFill="1" applyAlignment="1">
      <alignment/>
    </xf>
    <xf numFmtId="164" fontId="2" fillId="8" borderId="0" xfId="0" applyNumberFormat="1" applyFont="1" applyFill="1" applyAlignment="1">
      <alignment horizontal="center"/>
    </xf>
    <xf numFmtId="164" fontId="1" fillId="0" borderId="1" xfId="0" applyNumberFormat="1" applyFont="1" applyBorder="1" applyAlignment="1">
      <alignment/>
    </xf>
    <xf numFmtId="164" fontId="2" fillId="0" borderId="6" xfId="0" applyNumberFormat="1" applyFont="1" applyBorder="1" applyAlignment="1">
      <alignment horizontal="left" vertical="top" wrapText="1"/>
    </xf>
    <xf numFmtId="164" fontId="3" fillId="0" borderId="0" xfId="0" applyNumberFormat="1" applyFont="1" applyAlignment="1">
      <alignment horizontal="left"/>
    </xf>
    <xf numFmtId="164" fontId="2" fillId="6" borderId="3" xfId="0" applyNumberFormat="1" applyFont="1" applyFill="1" applyBorder="1" applyAlignment="1">
      <alignment horizontal="center"/>
    </xf>
    <xf numFmtId="164" fontId="5" fillId="2" borderId="3" xfId="0" applyNumberFormat="1" applyFont="1" applyFill="1" applyBorder="1" applyAlignment="1">
      <alignment vertical="top" wrapText="1"/>
    </xf>
    <xf numFmtId="164" fontId="2" fillId="2" borderId="3" xfId="0" applyNumberFormat="1" applyFont="1" applyFill="1" applyBorder="1" applyAlignment="1">
      <alignment horizontal="center" vertical="top" wrapText="1"/>
    </xf>
    <xf numFmtId="164" fontId="4" fillId="4" borderId="3" xfId="0" applyNumberFormat="1" applyFont="1" applyFill="1" applyBorder="1" applyAlignment="1">
      <alignment/>
    </xf>
    <xf numFmtId="164" fontId="5" fillId="0" borderId="6" xfId="0" applyNumberFormat="1" applyFont="1" applyBorder="1" applyAlignment="1">
      <alignment vertical="top" wrapText="1"/>
    </xf>
    <xf numFmtId="164" fontId="2" fillId="0" borderId="6" xfId="0" applyNumberFormat="1" applyFont="1" applyBorder="1" applyAlignment="1">
      <alignment horizontal="center" vertical="top" wrapText="1"/>
    </xf>
    <xf numFmtId="164" fontId="2" fillId="0" borderId="7" xfId="0" applyNumberFormat="1" applyFont="1" applyBorder="1" applyAlignment="1">
      <alignment horizontal="left" vertical="top" wrapText="1"/>
    </xf>
    <xf numFmtId="164" fontId="6" fillId="2" borderId="3" xfId="0" applyNumberFormat="1" applyFont="1" applyFill="1" applyBorder="1" applyAlignment="1">
      <alignment/>
    </xf>
    <xf numFmtId="164" fontId="2" fillId="2" borderId="3" xfId="0" applyNumberFormat="1" applyFont="1" applyFill="1" applyBorder="1" applyAlignment="1">
      <alignment horizontal="center"/>
    </xf>
    <xf numFmtId="164" fontId="3" fillId="2" borderId="3" xfId="0" applyNumberFormat="1" applyFont="1" applyFill="1" applyBorder="1" applyAlignment="1">
      <alignment horizontal="center" vertical="top" wrapText="1"/>
    </xf>
    <xf numFmtId="170" fontId="3" fillId="0" borderId="0" xfId="0" applyNumberFormat="1" applyFont="1" applyAlignment="1">
      <alignment horizontal="left"/>
    </xf>
    <xf numFmtId="164" fontId="5" fillId="0" borderId="3" xfId="0" applyNumberFormat="1" applyFont="1" applyBorder="1" applyAlignment="1">
      <alignment vertical="top" wrapText="1"/>
    </xf>
    <xf numFmtId="164" fontId="3" fillId="0" borderId="3" xfId="0" applyNumberFormat="1" applyFont="1" applyBorder="1" applyAlignment="1">
      <alignment vertical="top" wrapText="1"/>
    </xf>
    <xf numFmtId="164" fontId="3" fillId="0" borderId="3" xfId="0" applyNumberFormat="1" applyFont="1" applyBorder="1" applyAlignment="1">
      <alignment horizontal="center" vertical="top" wrapText="1"/>
    </xf>
    <xf numFmtId="164" fontId="7" fillId="9" borderId="3" xfId="0" applyNumberFormat="1" applyFont="1" applyFill="1" applyBorder="1" applyAlignment="1">
      <alignment vertical="top" wrapText="1"/>
    </xf>
    <xf numFmtId="171" fontId="3" fillId="0" borderId="0" xfId="0" applyNumberFormat="1" applyFont="1" applyAlignment="1">
      <alignment horizontal="left"/>
    </xf>
    <xf numFmtId="172" fontId="0" fillId="0" borderId="0" xfId="0" applyNumberFormat="1" applyFont="1" applyAlignment="1">
      <alignment horizontal="left" wrapText="1"/>
    </xf>
    <xf numFmtId="164" fontId="2" fillId="0" borderId="3" xfId="0" applyNumberFormat="1" applyFont="1" applyBorder="1" applyAlignment="1">
      <alignment horizontal="center" vertical="top" wrapText="1"/>
    </xf>
    <xf numFmtId="164" fontId="3" fillId="0" borderId="0" xfId="0" applyNumberFormat="1" applyFont="1" applyAlignment="1">
      <alignment horizontal="left" wrapText="1"/>
    </xf>
    <xf numFmtId="164" fontId="0" fillId="0" borderId="8" xfId="0" applyNumberFormat="1" applyFont="1" applyBorder="1" applyAlignment="1">
      <alignment wrapText="1"/>
    </xf>
    <xf numFmtId="164" fontId="0" fillId="0" borderId="0" xfId="0" applyNumberFormat="1" applyFont="1" applyAlignment="1">
      <alignment wrapText="1"/>
    </xf>
    <xf numFmtId="170" fontId="0" fillId="0" borderId="0" xfId="0" applyNumberFormat="1" applyFont="1" applyAlignment="1">
      <alignment wrapText="1"/>
    </xf>
    <xf numFmtId="164" fontId="6" fillId="0" borderId="6" xfId="0" applyNumberFormat="1" applyFont="1" applyBorder="1" applyAlignment="1">
      <alignment horizontal="left" vertical="top" wrapText="1"/>
    </xf>
    <xf numFmtId="164" fontId="3" fillId="0" borderId="6" xfId="0" applyNumberFormat="1" applyFont="1" applyBorder="1" applyAlignment="1">
      <alignment vertical="top" wrapText="1"/>
    </xf>
    <xf numFmtId="164" fontId="5" fillId="7" borderId="3" xfId="0" applyNumberFormat="1" applyFont="1" applyFill="1" applyBorder="1" applyAlignment="1">
      <alignment vertical="top" wrapText="1"/>
    </xf>
    <xf numFmtId="164" fontId="3" fillId="7" borderId="3" xfId="0" applyNumberFormat="1" applyFont="1" applyFill="1" applyBorder="1" applyAlignment="1">
      <alignment vertical="top" wrapText="1"/>
    </xf>
    <xf numFmtId="164" fontId="3" fillId="6" borderId="3" xfId="0" applyNumberFormat="1" applyFont="1" applyFill="1" applyBorder="1" applyAlignment="1">
      <alignment horizontal="left" vertical="top" wrapText="1"/>
    </xf>
    <xf numFmtId="164" fontId="3" fillId="6" borderId="3" xfId="0" applyNumberFormat="1" applyFont="1" applyFill="1" applyBorder="1" applyAlignment="1">
      <alignment horizontal="left"/>
    </xf>
    <xf numFmtId="164" fontId="6" fillId="2" borderId="3" xfId="0" applyNumberFormat="1" applyFont="1" applyFill="1" applyBorder="1" applyAlignment="1">
      <alignment horizontal="left"/>
    </xf>
    <xf numFmtId="164" fontId="4" fillId="5" borderId="3" xfId="0" applyNumberFormat="1" applyFont="1" applyFill="1" applyBorder="1" applyAlignment="1">
      <alignment/>
    </xf>
    <xf numFmtId="164" fontId="2" fillId="0" borderId="2" xfId="0" applyNumberFormat="1" applyFont="1" applyBorder="1" applyAlignment="1">
      <alignment horizontal="left" vertical="top"/>
    </xf>
    <xf numFmtId="164" fontId="4" fillId="5" borderId="3" xfId="0" applyNumberFormat="1" applyFont="1" applyFill="1" applyBorder="1" applyAlignment="1">
      <alignment horizontal="left" vertical="top"/>
    </xf>
    <xf numFmtId="164" fontId="2" fillId="3" borderId="3" xfId="0" applyNumberFormat="1" applyFont="1" applyFill="1" applyBorder="1" applyAlignment="1">
      <alignment wrapText="1"/>
    </xf>
    <xf numFmtId="164" fontId="2" fillId="2" borderId="3" xfId="0" applyNumberFormat="1" applyFont="1" applyFill="1" applyBorder="1" applyAlignment="1">
      <alignment wrapText="1"/>
    </xf>
    <xf numFmtId="164" fontId="4" fillId="5" borderId="3" xfId="0" applyNumberFormat="1" applyFont="1" applyFill="1" applyBorder="1" applyAlignment="1">
      <alignment vertical="top"/>
    </xf>
    <xf numFmtId="164" fontId="3" fillId="2" borderId="3" xfId="0" applyNumberFormat="1" applyFont="1" applyFill="1" applyBorder="1" applyAlignment="1">
      <alignment/>
    </xf>
    <xf numFmtId="164" fontId="2" fillId="3" borderId="6" xfId="0" applyNumberFormat="1" applyFont="1" applyFill="1" applyBorder="1" applyAlignment="1">
      <alignment/>
    </xf>
    <xf numFmtId="164" fontId="3" fillId="2" borderId="3" xfId="0" applyNumberFormat="1" applyFont="1" applyFill="1" applyBorder="1" applyAlignment="1">
      <alignment wrapText="1"/>
    </xf>
    <xf numFmtId="164" fontId="2" fillId="3" borderId="9" xfId="0" applyNumberFormat="1" applyFont="1" applyFill="1" applyBorder="1" applyAlignment="1">
      <alignment vertical="center"/>
    </xf>
    <xf numFmtId="164" fontId="2" fillId="3" borderId="6" xfId="0" applyNumberFormat="1" applyFont="1" applyFill="1" applyBorder="1" applyAlignment="1">
      <alignment vertical="center"/>
    </xf>
    <xf numFmtId="164" fontId="2" fillId="3" borderId="10" xfId="0" applyNumberFormat="1" applyFont="1" applyFill="1" applyBorder="1" applyAlignment="1">
      <alignment vertical="center"/>
    </xf>
    <xf numFmtId="164" fontId="2" fillId="5" borderId="3" xfId="0" applyNumberFormat="1" applyFont="1" applyFill="1" applyBorder="1" applyAlignment="1">
      <alignment horizontal="left" vertical="top" wrapText="1"/>
    </xf>
    <xf numFmtId="164" fontId="5" fillId="0" borderId="3" xfId="0" applyNumberFormat="1" applyFont="1" applyBorder="1" applyAlignment="1">
      <alignment horizontal="left" vertical="top" wrapText="1"/>
    </xf>
    <xf numFmtId="164" fontId="2" fillId="3" borderId="9" xfId="0" applyNumberFormat="1" applyFont="1" applyFill="1" applyBorder="1" applyAlignment="1">
      <alignment/>
    </xf>
    <xf numFmtId="164" fontId="4" fillId="5" borderId="9" xfId="0" applyNumberFormat="1" applyFont="1" applyFill="1" applyBorder="1" applyAlignment="1">
      <alignment vertical="top"/>
    </xf>
    <xf numFmtId="164" fontId="2" fillId="3" borderId="9" xfId="0" applyNumberFormat="1" applyFont="1" applyFill="1" applyBorder="1" applyAlignment="1">
      <alignment horizontal="left" vertical="top" wrapText="1"/>
    </xf>
    <xf numFmtId="164" fontId="2" fillId="0" borderId="9" xfId="0" applyNumberFormat="1" applyFont="1" applyBorder="1" applyAlignment="1">
      <alignment horizontal="left" vertical="top" wrapText="1"/>
    </xf>
    <xf numFmtId="164" fontId="4" fillId="2" borderId="3" xfId="0" applyNumberFormat="1" applyFont="1" applyFill="1" applyBorder="1" applyAlignment="1">
      <alignment horizontal="left" vertical="top" wrapText="1"/>
    </xf>
    <xf numFmtId="164" fontId="2" fillId="6" borderId="11" xfId="0" applyNumberFormat="1" applyFont="1" applyFill="1" applyBorder="1" applyAlignment="1">
      <alignment/>
    </xf>
    <xf numFmtId="164" fontId="2" fillId="3" borderId="11" xfId="0" applyNumberFormat="1" applyFont="1" applyFill="1" applyBorder="1" applyAlignment="1">
      <alignment/>
    </xf>
    <xf numFmtId="164" fontId="6" fillId="2" borderId="12" xfId="0" applyNumberFormat="1" applyFont="1" applyFill="1" applyBorder="1" applyAlignment="1">
      <alignment/>
    </xf>
    <xf numFmtId="164" fontId="2" fillId="3" borderId="12" xfId="0" applyNumberFormat="1" applyFont="1" applyFill="1" applyBorder="1" applyAlignment="1">
      <alignment/>
    </xf>
    <xf numFmtId="164" fontId="2" fillId="0" borderId="9" xfId="0" applyNumberFormat="1" applyFont="1" applyBorder="1" applyAlignment="1">
      <alignment/>
    </xf>
    <xf numFmtId="164" fontId="4" fillId="5" borderId="9" xfId="0" applyNumberFormat="1" applyFont="1" applyFill="1" applyBorder="1" applyAlignment="1">
      <alignment horizontal="left" vertical="top"/>
    </xf>
    <xf numFmtId="164" fontId="4" fillId="2" borderId="3" xfId="0" applyNumberFormat="1" applyFont="1" applyFill="1" applyBorder="1" applyAlignment="1">
      <alignment vertical="top" wrapText="1"/>
    </xf>
    <xf numFmtId="164" fontId="2" fillId="6" borderId="3" xfId="0" applyNumberFormat="1" applyFont="1" applyFill="1" applyBorder="1" applyAlignment="1">
      <alignment horizontal="left" vertical="top" wrapText="1"/>
    </xf>
    <xf numFmtId="164" fontId="5" fillId="2" borderId="3" xfId="0" applyNumberFormat="1" applyFont="1" applyFill="1" applyBorder="1" applyAlignment="1">
      <alignment horizontal="left" vertical="top" wrapText="1"/>
    </xf>
    <xf numFmtId="164" fontId="2" fillId="2" borderId="3" xfId="0" applyNumberFormat="1" applyFont="1" applyFill="1" applyBorder="1" applyAlignment="1">
      <alignment horizontal="left"/>
    </xf>
    <xf numFmtId="164" fontId="2" fillId="6" borderId="9" xfId="0" applyNumberFormat="1" applyFont="1" applyFill="1" applyBorder="1" applyAlignment="1">
      <alignment/>
    </xf>
    <xf numFmtId="164" fontId="4" fillId="5" borderId="9" xfId="0" applyNumberFormat="1" applyFont="1" applyFill="1" applyBorder="1" applyAlignment="1">
      <alignment horizontal="left" vertical="top" wrapText="1"/>
    </xf>
    <xf numFmtId="164" fontId="2" fillId="7" borderId="9" xfId="0" applyNumberFormat="1" applyFont="1" applyFill="1" applyBorder="1" applyAlignment="1">
      <alignment/>
    </xf>
    <xf numFmtId="164" fontId="0" fillId="0" borderId="0" xfId="0" applyNumberFormat="1" applyFont="1" applyBorder="1" applyAlignment="1">
      <alignment wrapText="1"/>
    </xf>
    <xf numFmtId="164" fontId="0" fillId="0" borderId="0" xfId="0" applyNumberFormat="1" applyFont="1" applyBorder="1" applyAlignment="1">
      <alignment horizontal="left" wrapText="1"/>
    </xf>
    <xf numFmtId="164" fontId="2" fillId="3" borderId="9" xfId="0" applyNumberFormat="1" applyFont="1" applyFill="1" applyBorder="1" applyAlignment="1">
      <alignment horizontal="left" vertical="top"/>
    </xf>
    <xf numFmtId="164" fontId="2" fillId="0" borderId="9" xfId="0" applyNumberFormat="1" applyFont="1" applyBorder="1" applyAlignment="1">
      <alignment horizontal="left" vertical="top"/>
    </xf>
    <xf numFmtId="164" fontId="2" fillId="0" borderId="6" xfId="0" applyNumberFormat="1" applyFont="1" applyBorder="1" applyAlignment="1">
      <alignment/>
    </xf>
    <xf numFmtId="164" fontId="5" fillId="2" borderId="3" xfId="0" applyNumberFormat="1" applyFont="1" applyFill="1" applyBorder="1" applyAlignment="1">
      <alignment horizontal="right" vertical="top" wrapText="1"/>
    </xf>
    <xf numFmtId="164" fontId="5" fillId="2" borderId="3" xfId="0" applyNumberFormat="1" applyFont="1" applyFill="1" applyBorder="1" applyAlignment="1">
      <alignment/>
    </xf>
    <xf numFmtId="164" fontId="3" fillId="0" borderId="6" xfId="0" applyNumberFormat="1" applyFont="1" applyBorder="1" applyAlignment="1">
      <alignment horizontal="left" vertical="top" wrapText="1"/>
    </xf>
    <xf numFmtId="164" fontId="5" fillId="2" borderId="3" xfId="0" applyNumberFormat="1" applyFont="1" applyFill="1" applyBorder="1" applyAlignment="1">
      <alignment horizontal="left" vertical="top"/>
    </xf>
    <xf numFmtId="164" fontId="2" fillId="0" borderId="2" xfId="0" applyNumberFormat="1" applyFont="1" applyBorder="1" applyAlignment="1">
      <alignment horizontal="center"/>
    </xf>
    <xf numFmtId="164" fontId="2" fillId="0" borderId="3" xfId="0" applyNumberFormat="1" applyFont="1" applyBorder="1" applyAlignment="1">
      <alignment wrapText="1"/>
    </xf>
    <xf numFmtId="164" fontId="4" fillId="4" borderId="3" xfId="0" applyNumberFormat="1" applyFont="1" applyFill="1" applyBorder="1" applyAlignment="1">
      <alignment wrapText="1"/>
    </xf>
    <xf numFmtId="164" fontId="2" fillId="2" borderId="3" xfId="0" applyNumberFormat="1" applyFont="1" applyFill="1" applyBorder="1" applyAlignment="1">
      <alignment horizontal="left" vertical="top"/>
    </xf>
    <xf numFmtId="164" fontId="2" fillId="7" borderId="9" xfId="0" applyNumberFormat="1" applyFont="1" applyFill="1" applyBorder="1" applyAlignment="1">
      <alignment horizontal="left" vertical="top" wrapText="1"/>
    </xf>
    <xf numFmtId="164" fontId="2" fillId="0" borderId="3" xfId="0" applyNumberFormat="1" applyFont="1" applyBorder="1" applyAlignment="1">
      <alignment horizontal="left" wrapText="1"/>
    </xf>
    <xf numFmtId="164" fontId="6" fillId="10" borderId="3" xfId="0" applyNumberFormat="1" applyFont="1" applyFill="1" applyBorder="1" applyAlignment="1">
      <alignment horizontal="center"/>
    </xf>
    <xf numFmtId="164" fontId="6" fillId="10" borderId="3" xfId="0" applyNumberFormat="1" applyFont="1" applyFill="1" applyBorder="1" applyAlignment="1">
      <alignment/>
    </xf>
    <xf numFmtId="172" fontId="2" fillId="0" borderId="3" xfId="0" applyNumberFormat="1" applyFont="1" applyBorder="1" applyAlignment="1">
      <alignment horizontal="center"/>
    </xf>
    <xf numFmtId="173" fontId="2" fillId="0" borderId="3" xfId="0" applyNumberFormat="1" applyFont="1" applyBorder="1" applyAlignment="1">
      <alignment horizontal="center"/>
    </xf>
    <xf numFmtId="164" fontId="2" fillId="0" borderId="3" xfId="0" applyNumberFormat="1" applyFont="1" applyBorder="1" applyAlignment="1">
      <alignment horizontal="center"/>
    </xf>
  </cellXfs>
  <cellStyles count="11">
    <cellStyle name="Normal" xfId="0"/>
    <cellStyle name="Comma" xfId="15"/>
    <cellStyle name="Comma [0]" xfId="16"/>
    <cellStyle name="Currency" xfId="17"/>
    <cellStyle name="Currency [0]" xfId="18"/>
    <cellStyle name="Percent" xfId="19"/>
    <cellStyle name="Percent" xfId="20"/>
    <cellStyle name="Currency" xfId="21"/>
    <cellStyle name="Currency [0]"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1DA"/>
      <rgbColor rgb="00808080"/>
      <rgbColor rgb="009999FF"/>
      <rgbColor rgb="00993366"/>
      <rgbColor rgb="00FCD5B5"/>
      <rgbColor rgb="00CCFFFF"/>
      <rgbColor rgb="00660066"/>
      <rgbColor rgb="00FF8080"/>
      <rgbColor rgb="000066CC"/>
      <rgbColor rgb="00B7DEE8"/>
      <rgbColor rgb="00000080"/>
      <rgbColor rgb="00FF00FF"/>
      <rgbColor rgb="00FFFF00"/>
      <rgbColor rgb="0000FFFF"/>
      <rgbColor rgb="00800080"/>
      <rgbColor rgb="00800000"/>
      <rgbColor rgb="00008080"/>
      <rgbColor rgb="000000FF"/>
      <rgbColor rgb="0000B0F0"/>
      <rgbColor rgb="00CCFFFF"/>
      <rgbColor rgb="00D7E4BD"/>
      <rgbColor rgb="00FFFF99"/>
      <rgbColor rgb="0099CCFF"/>
      <rgbColor rgb="00E6B9B8"/>
      <rgbColor rgb="00CC99FF"/>
      <rgbColor rgb="00FAC090"/>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5:F40"/>
  <sheetViews>
    <sheetView zoomScaleSheetLayoutView="100" workbookViewId="0" topLeftCell="A1">
      <selection activeCell="A1" sqref="A1"/>
    </sheetView>
  </sheetViews>
  <sheetFormatPr defaultColWidth="37.7109375" defaultRowHeight="12.75"/>
  <cols>
    <col min="1" max="1" width="7.57421875" style="0" customWidth="1"/>
    <col min="2" max="2" width="37.57421875" style="0" customWidth="1"/>
    <col min="3" max="3" width="3.00390625" style="0" customWidth="1"/>
    <col min="4" max="4" width="76.7109375" style="0" customWidth="1"/>
    <col min="5" max="5" width="14.57421875" style="0" customWidth="1"/>
    <col min="6" max="6" width="40.57421875" style="0" customWidth="1"/>
  </cols>
  <sheetData>
    <row r="1" ht="14.25" customHeight="1"/>
    <row r="2" ht="14.25" customHeight="1"/>
    <row r="3" ht="14.25" customHeight="1"/>
    <row r="4" ht="14.25" customHeight="1"/>
    <row r="5" ht="15">
      <c r="B5" s="1" t="s">
        <v>0</v>
      </c>
    </row>
    <row r="6" ht="14.25" customHeight="1"/>
    <row r="7" spans="2:5" ht="242.25" customHeight="1">
      <c r="B7" s="2" t="s">
        <v>1</v>
      </c>
      <c r="C7" s="2"/>
      <c r="D7" s="2"/>
      <c r="E7" s="2"/>
    </row>
    <row r="8" ht="14.25" customHeight="1"/>
    <row r="9" spans="2:4" ht="15" customHeight="1">
      <c r="B9" s="3"/>
      <c r="D9" s="3"/>
    </row>
    <row r="10" spans="1:6" ht="15" customHeight="1">
      <c r="A10" s="4"/>
      <c r="B10" s="5" t="s">
        <v>2</v>
      </c>
      <c r="C10" s="6"/>
      <c r="D10" s="7"/>
      <c r="E10" s="8"/>
      <c r="F10" s="9" t="s">
        <v>3</v>
      </c>
    </row>
    <row r="11" spans="1:6" ht="27.75" customHeight="1">
      <c r="A11" s="4"/>
      <c r="B11" s="5" t="s">
        <v>4</v>
      </c>
      <c r="C11" s="6"/>
      <c r="D11" s="7"/>
      <c r="E11" s="8"/>
      <c r="F11" s="9" t="s">
        <v>5</v>
      </c>
    </row>
    <row r="12" spans="1:5" ht="15" customHeight="1">
      <c r="A12" s="4"/>
      <c r="B12" s="5" t="s">
        <v>6</v>
      </c>
      <c r="C12" s="6"/>
      <c r="D12" s="7"/>
      <c r="E12" s="8"/>
    </row>
    <row r="13" spans="1:5" ht="15" customHeight="1">
      <c r="A13" s="4"/>
      <c r="B13" s="5" t="s">
        <v>7</v>
      </c>
      <c r="C13" s="6"/>
      <c r="D13" s="7"/>
      <c r="E13" s="8"/>
    </row>
    <row r="14" spans="1:5" ht="15" customHeight="1">
      <c r="A14" s="4"/>
      <c r="B14" s="5" t="s">
        <v>8</v>
      </c>
      <c r="C14" s="6"/>
      <c r="D14" s="7"/>
      <c r="E14" s="8"/>
    </row>
    <row r="15" spans="1:5" ht="15" customHeight="1">
      <c r="A15" s="4"/>
      <c r="B15" s="5" t="s">
        <v>9</v>
      </c>
      <c r="C15" s="6"/>
      <c r="D15" s="7"/>
      <c r="E15" s="8"/>
    </row>
    <row r="16" spans="2:4" ht="15" customHeight="1">
      <c r="B16" s="10"/>
      <c r="D16" s="11"/>
    </row>
    <row r="17" spans="1:6" ht="15" customHeight="1">
      <c r="A17" s="4"/>
      <c r="B17" s="5" t="s">
        <v>10</v>
      </c>
      <c r="C17" s="8"/>
      <c r="F17" s="9" t="s">
        <v>11</v>
      </c>
    </row>
    <row r="18" ht="14.25" customHeight="1">
      <c r="B18" s="12"/>
    </row>
    <row r="19" ht="14.25" customHeight="1"/>
    <row r="20" ht="14.25" customHeight="1"/>
    <row r="21" ht="14.25" customHeight="1"/>
    <row r="22" spans="2:4" ht="15" customHeight="1">
      <c r="B22" s="3"/>
      <c r="D22" s="13"/>
    </row>
    <row r="23" spans="1:5" ht="27.75" customHeight="1">
      <c r="A23" s="4"/>
      <c r="B23" s="5" t="s">
        <v>12</v>
      </c>
      <c r="C23" s="6"/>
      <c r="D23" s="7"/>
      <c r="E23" s="8"/>
    </row>
    <row r="24" spans="1:5" ht="27.75" customHeight="1">
      <c r="A24" s="14"/>
      <c r="B24" s="5" t="s">
        <v>13</v>
      </c>
      <c r="C24" s="15"/>
      <c r="D24" s="7"/>
      <c r="E24" s="16"/>
    </row>
    <row r="25" spans="1:5" ht="27.75" customHeight="1">
      <c r="A25" s="14"/>
      <c r="B25" s="5" t="s">
        <v>14</v>
      </c>
      <c r="C25" s="15"/>
      <c r="D25" s="7"/>
      <c r="E25" s="16"/>
    </row>
    <row r="26" spans="1:5" ht="27.75" customHeight="1">
      <c r="A26" s="14"/>
      <c r="B26" s="5" t="s">
        <v>15</v>
      </c>
      <c r="C26" s="15"/>
      <c r="D26" s="7"/>
      <c r="E26" s="16"/>
    </row>
    <row r="27" spans="1:5" ht="27.75" customHeight="1">
      <c r="A27" s="14"/>
      <c r="B27" s="5" t="s">
        <v>16</v>
      </c>
      <c r="C27" s="15"/>
      <c r="D27" s="7"/>
      <c r="E27" s="16"/>
    </row>
    <row r="28" spans="1:5" ht="15" customHeight="1">
      <c r="A28" s="14"/>
      <c r="B28" s="5" t="s">
        <v>17</v>
      </c>
      <c r="C28" s="15"/>
      <c r="D28" s="7"/>
      <c r="E28" s="16"/>
    </row>
    <row r="29" spans="1:5" ht="15" customHeight="1">
      <c r="A29" s="14"/>
      <c r="B29" s="5" t="s">
        <v>18</v>
      </c>
      <c r="C29" s="15"/>
      <c r="D29" s="7"/>
      <c r="E29" s="16"/>
    </row>
    <row r="30" spans="1:5" ht="15" customHeight="1">
      <c r="A30" s="14"/>
      <c r="B30" s="5" t="s">
        <v>19</v>
      </c>
      <c r="C30" s="15"/>
      <c r="D30" s="7"/>
      <c r="E30" s="16"/>
    </row>
    <row r="31" spans="2:4" ht="15" customHeight="1">
      <c r="B31" s="10"/>
      <c r="D31" s="11"/>
    </row>
    <row r="32" spans="1:4" ht="15" customHeight="1">
      <c r="A32" s="4"/>
      <c r="B32" s="7" t="s">
        <v>20</v>
      </c>
      <c r="C32" s="8"/>
      <c r="D32" s="13"/>
    </row>
    <row r="33" spans="1:5" ht="15" customHeight="1">
      <c r="A33" s="4"/>
      <c r="B33" s="5" t="s">
        <v>21</v>
      </c>
      <c r="C33" s="6"/>
      <c r="D33" s="7"/>
      <c r="E33" s="8"/>
    </row>
    <row r="34" spans="1:5" ht="15" customHeight="1">
      <c r="A34" s="14"/>
      <c r="B34" s="5" t="s">
        <v>22</v>
      </c>
      <c r="C34" s="15"/>
      <c r="D34" s="7"/>
      <c r="E34" s="16"/>
    </row>
    <row r="35" spans="1:5" ht="15" customHeight="1">
      <c r="A35" s="14"/>
      <c r="B35" s="5" t="s">
        <v>9</v>
      </c>
      <c r="C35" s="15"/>
      <c r="D35" s="7"/>
      <c r="E35" s="16"/>
    </row>
    <row r="36" spans="1:5" ht="15" customHeight="1">
      <c r="A36" s="14"/>
      <c r="B36" s="5" t="s">
        <v>23</v>
      </c>
      <c r="C36" s="15"/>
      <c r="D36" s="7"/>
      <c r="E36" s="16"/>
    </row>
    <row r="37" spans="1:5" ht="15" customHeight="1">
      <c r="A37" s="14"/>
      <c r="B37" s="5" t="s">
        <v>24</v>
      </c>
      <c r="C37" s="15"/>
      <c r="D37" s="7"/>
      <c r="E37" s="16"/>
    </row>
    <row r="38" spans="1:5" ht="15" customHeight="1">
      <c r="A38" s="14"/>
      <c r="B38" s="5" t="s">
        <v>17</v>
      </c>
      <c r="C38" s="15"/>
      <c r="D38" s="7"/>
      <c r="E38" s="16"/>
    </row>
    <row r="39" spans="1:5" ht="15" customHeight="1">
      <c r="A39" s="14"/>
      <c r="B39" s="5" t="s">
        <v>18</v>
      </c>
      <c r="C39" s="15"/>
      <c r="D39" s="7"/>
      <c r="E39" s="16"/>
    </row>
    <row r="40" spans="1:5" ht="15" customHeight="1">
      <c r="A40" s="14"/>
      <c r="B40" s="5" t="s">
        <v>19</v>
      </c>
      <c r="C40" s="15"/>
      <c r="D40" s="7"/>
      <c r="E40" s="16"/>
    </row>
  </sheetData>
  <sheetProtection selectLockedCells="1" selectUnlockedCells="1"/>
  <mergeCells count="1">
    <mergeCell ref="B7:E7"/>
  </mergeCells>
  <printOptions/>
  <pageMargins left="0.75" right="0.75" top="0.5" bottom="0.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5:J39"/>
  <sheetViews>
    <sheetView zoomScaleSheetLayoutView="100" workbookViewId="0" topLeftCell="A1">
      <selection activeCell="A1" sqref="A1"/>
    </sheetView>
  </sheetViews>
  <sheetFormatPr defaultColWidth="37.7109375" defaultRowHeight="12.75"/>
  <cols>
    <col min="1" max="1" width="7.57421875" style="0" customWidth="1"/>
    <col min="2" max="2" width="33.7109375" style="0" customWidth="1"/>
    <col min="3" max="3" width="0.42578125" style="0" customWidth="1"/>
    <col min="4" max="4" width="11.00390625" style="0" customWidth="1"/>
    <col min="5" max="5" width="14.57421875" style="0" customWidth="1"/>
    <col min="6" max="6" width="14.00390625" style="0" customWidth="1"/>
    <col min="7" max="7" width="11.7109375" style="0" customWidth="1"/>
    <col min="8" max="8" width="14.140625" style="0" customWidth="1"/>
    <col min="9" max="10" width="36.8515625" style="0" customWidth="1"/>
  </cols>
  <sheetData>
    <row r="1" ht="14.25" customHeight="1"/>
    <row r="2" ht="14.25" customHeight="1"/>
    <row r="3" ht="14.25" customHeight="1"/>
    <row r="4" ht="14.25" customHeight="1"/>
    <row r="5" ht="15">
      <c r="B5" s="1" t="s">
        <v>25</v>
      </c>
    </row>
    <row r="6" ht="14.25" customHeight="1"/>
    <row r="7" spans="2:10" ht="185.25" customHeight="1">
      <c r="B7" s="17" t="s">
        <v>26</v>
      </c>
      <c r="C7" s="17"/>
      <c r="D7" s="17"/>
      <c r="E7" s="17"/>
      <c r="F7" s="17"/>
      <c r="G7" s="17"/>
      <c r="H7" s="17"/>
      <c r="I7" s="17"/>
      <c r="J7" s="17"/>
    </row>
    <row r="8" spans="2:10" ht="15" customHeight="1">
      <c r="B8" s="3"/>
      <c r="C8" s="3"/>
      <c r="D8" s="3"/>
      <c r="E8" s="3"/>
      <c r="F8" s="3"/>
      <c r="G8" s="3"/>
      <c r="H8" s="3"/>
      <c r="I8" s="3"/>
      <c r="J8" s="3"/>
    </row>
    <row r="9" spans="1:10" ht="53.25" customHeight="1">
      <c r="A9" s="4"/>
      <c r="B9" s="18" t="s">
        <v>27</v>
      </c>
      <c r="C9" s="19" t="s">
        <v>28</v>
      </c>
      <c r="D9" s="19"/>
      <c r="E9" s="19"/>
      <c r="F9" s="19"/>
      <c r="G9" s="20" t="s">
        <v>29</v>
      </c>
      <c r="H9" s="20"/>
      <c r="I9" s="21" t="s">
        <v>30</v>
      </c>
      <c r="J9" s="21" t="s">
        <v>31</v>
      </c>
    </row>
    <row r="10" spans="1:10" ht="15" customHeight="1">
      <c r="A10" s="4"/>
      <c r="B10" s="22" t="s">
        <v>32</v>
      </c>
      <c r="C10" s="23"/>
      <c r="D10" s="23" t="s">
        <v>33</v>
      </c>
      <c r="E10" s="23" t="s">
        <v>34</v>
      </c>
      <c r="F10" s="23" t="s">
        <v>35</v>
      </c>
      <c r="G10" s="22" t="s">
        <v>36</v>
      </c>
      <c r="H10" s="22" t="s">
        <v>37</v>
      </c>
      <c r="I10" s="22" t="s">
        <v>38</v>
      </c>
      <c r="J10" s="23" t="s">
        <v>39</v>
      </c>
    </row>
    <row r="11" spans="1:10" ht="14.25">
      <c r="A11" s="4"/>
      <c r="B11" s="24" t="s">
        <v>40</v>
      </c>
      <c r="C11" s="24"/>
      <c r="D11" s="25"/>
      <c r="E11" s="25"/>
      <c r="F11" s="25"/>
      <c r="G11" s="24" t="s">
        <v>41</v>
      </c>
      <c r="H11" s="24"/>
      <c r="I11" s="24"/>
      <c r="J11" s="25"/>
    </row>
    <row r="12" spans="1:10" ht="14.25">
      <c r="A12" s="4"/>
      <c r="B12" s="26" t="s">
        <v>42</v>
      </c>
      <c r="C12" s="26"/>
      <c r="D12" s="26"/>
      <c r="E12" s="26"/>
      <c r="F12" s="26"/>
      <c r="G12" s="26"/>
      <c r="H12" s="26" t="s">
        <v>43</v>
      </c>
      <c r="I12" s="26"/>
      <c r="J12" s="26"/>
    </row>
    <row r="13" spans="1:10" ht="14.25">
      <c r="A13" s="4"/>
      <c r="B13" s="24" t="s">
        <v>44</v>
      </c>
      <c r="C13" s="24"/>
      <c r="D13" s="25"/>
      <c r="E13" s="25"/>
      <c r="F13" s="25"/>
      <c r="G13" s="24" t="s">
        <v>41</v>
      </c>
      <c r="H13" s="24"/>
      <c r="I13" s="27">
        <f>HYPERLINK("Introduction!Introduction_sub_structure","LINK to a sub-structure")</f>
        <v>0</v>
      </c>
      <c r="J13" s="25"/>
    </row>
    <row r="14" spans="1:10" ht="14.25">
      <c r="A14" s="4"/>
      <c r="B14" s="24" t="s">
        <v>45</v>
      </c>
      <c r="C14" s="24"/>
      <c r="D14" s="25"/>
      <c r="E14" s="25"/>
      <c r="F14" s="25"/>
      <c r="G14" s="24" t="s">
        <v>41</v>
      </c>
      <c r="H14" s="24"/>
      <c r="I14" s="24"/>
      <c r="J14" s="28">
        <f>HYPERLINK("Introduction!Introduction_parameter_11","LINK to a detailed specification")</f>
        <v>0</v>
      </c>
    </row>
    <row r="15" spans="2:10" ht="15" customHeight="1">
      <c r="B15" s="10"/>
      <c r="C15" s="10"/>
      <c r="D15" s="10"/>
      <c r="E15" s="10"/>
      <c r="F15" s="10"/>
      <c r="G15" s="10"/>
      <c r="H15" s="10"/>
      <c r="I15" s="29"/>
      <c r="J15" s="29"/>
    </row>
    <row r="16" spans="1:10" ht="15" customHeight="1">
      <c r="A16" s="4"/>
      <c r="B16" s="30" t="s">
        <v>46</v>
      </c>
      <c r="C16" s="19" t="s">
        <v>28</v>
      </c>
      <c r="D16" s="19"/>
      <c r="E16" s="19"/>
      <c r="F16" s="19"/>
      <c r="G16" s="31" t="s">
        <v>29</v>
      </c>
      <c r="H16" s="31"/>
      <c r="I16" s="32"/>
      <c r="J16" s="13"/>
    </row>
    <row r="17" spans="1:10" ht="15" customHeight="1">
      <c r="A17" s="4"/>
      <c r="B17" s="33" t="s">
        <v>32</v>
      </c>
      <c r="C17" s="23" t="s">
        <v>47</v>
      </c>
      <c r="D17" s="23" t="s">
        <v>33</v>
      </c>
      <c r="E17" s="23" t="s">
        <v>34</v>
      </c>
      <c r="F17" s="23" t="s">
        <v>35</v>
      </c>
      <c r="G17" s="33" t="s">
        <v>36</v>
      </c>
      <c r="H17" s="33" t="s">
        <v>37</v>
      </c>
      <c r="I17" s="33" t="s">
        <v>38</v>
      </c>
      <c r="J17" s="23" t="s">
        <v>39</v>
      </c>
    </row>
    <row r="18" spans="1:10" ht="14.25">
      <c r="A18" s="4"/>
      <c r="B18" s="24" t="s">
        <v>48</v>
      </c>
      <c r="C18" s="34"/>
      <c r="D18" s="35"/>
      <c r="E18" s="35"/>
      <c r="F18" s="35"/>
      <c r="G18" s="34" t="s">
        <v>41</v>
      </c>
      <c r="H18" s="22"/>
      <c r="I18" s="22"/>
      <c r="J18" s="23"/>
    </row>
    <row r="19" spans="1:10" ht="14.25">
      <c r="A19" s="4"/>
      <c r="B19" s="24" t="s">
        <v>49</v>
      </c>
      <c r="C19" s="34"/>
      <c r="D19" s="35"/>
      <c r="E19" s="35"/>
      <c r="F19" s="35"/>
      <c r="G19" s="34" t="s">
        <v>41</v>
      </c>
      <c r="H19" s="22"/>
      <c r="I19" s="22"/>
      <c r="J19" s="23"/>
    </row>
    <row r="20" spans="2:10" ht="14.25" customHeight="1">
      <c r="B20" s="29"/>
      <c r="C20" s="29"/>
      <c r="D20" s="29"/>
      <c r="E20" s="29"/>
      <c r="F20" s="29"/>
      <c r="G20" s="29"/>
      <c r="H20" s="29"/>
      <c r="I20" s="29"/>
      <c r="J20" s="29"/>
    </row>
    <row r="21" ht="14.25" customHeight="1"/>
    <row r="22" spans="2:10" ht="71.25" customHeight="1">
      <c r="B22" s="17" t="s">
        <v>50</v>
      </c>
      <c r="C22" s="17"/>
      <c r="D22" s="17"/>
      <c r="E22" s="17"/>
      <c r="F22" s="17"/>
      <c r="G22" s="17"/>
      <c r="H22" s="17"/>
      <c r="I22" s="17"/>
      <c r="J22" s="17"/>
    </row>
    <row r="23" spans="2:10" ht="14.25" customHeight="1">
      <c r="B23" s="3"/>
      <c r="C23" s="3"/>
      <c r="D23" s="3"/>
      <c r="E23" s="3"/>
      <c r="F23" s="3"/>
      <c r="G23" s="3"/>
      <c r="H23" s="3"/>
      <c r="I23" s="3"/>
      <c r="J23" s="3"/>
    </row>
    <row r="24" spans="1:10" ht="29.25" customHeight="1">
      <c r="A24" s="4"/>
      <c r="B24" s="36" t="s">
        <v>51</v>
      </c>
      <c r="C24" s="36"/>
      <c r="D24" s="36"/>
      <c r="E24" s="36"/>
      <c r="F24" s="36"/>
      <c r="G24" s="37" t="s">
        <v>52</v>
      </c>
      <c r="H24" s="37"/>
      <c r="I24" s="37"/>
      <c r="J24" s="37"/>
    </row>
    <row r="25" spans="1:10" ht="15" customHeight="1">
      <c r="A25" s="4"/>
      <c r="B25" s="38" t="s">
        <v>53</v>
      </c>
      <c r="C25" s="38"/>
      <c r="D25" s="38"/>
      <c r="E25" s="38"/>
      <c r="F25" s="38"/>
      <c r="G25" s="25"/>
      <c r="H25" s="25"/>
      <c r="I25" s="25"/>
      <c r="J25" s="25"/>
    </row>
    <row r="26" spans="2:10" ht="14.25" customHeight="1">
      <c r="B26" s="29"/>
      <c r="C26" s="29"/>
      <c r="D26" s="29"/>
      <c r="E26" s="29"/>
      <c r="F26" s="29"/>
      <c r="G26" s="29"/>
      <c r="H26" s="29"/>
      <c r="I26" s="29"/>
      <c r="J26" s="29"/>
    </row>
    <row r="27" ht="14.25" customHeight="1"/>
    <row r="28" spans="2:10" ht="14.25">
      <c r="B28" s="39" t="s">
        <v>54</v>
      </c>
      <c r="C28" s="39"/>
      <c r="D28" s="39"/>
      <c r="E28" s="39"/>
      <c r="F28" s="39"/>
      <c r="G28" s="39"/>
      <c r="H28" s="39"/>
      <c r="I28" s="39"/>
      <c r="J28" s="39"/>
    </row>
    <row r="29" spans="2:8" ht="15" customHeight="1">
      <c r="B29" s="3"/>
      <c r="C29" s="3"/>
      <c r="D29" s="3"/>
      <c r="E29" s="3"/>
      <c r="F29" s="3"/>
      <c r="G29" s="3"/>
      <c r="H29" s="3"/>
    </row>
    <row r="30" spans="1:10" ht="67.5" customHeight="1">
      <c r="A30" s="4"/>
      <c r="B30" s="5" t="s">
        <v>55</v>
      </c>
      <c r="C30" s="40" t="s">
        <v>28</v>
      </c>
      <c r="D30" s="40"/>
      <c r="E30" s="40"/>
      <c r="F30" s="40"/>
      <c r="G30" s="40" t="s">
        <v>29</v>
      </c>
      <c r="H30" s="40"/>
      <c r="I30" s="32"/>
      <c r="J30" s="13"/>
    </row>
    <row r="31" spans="1:10" ht="15" customHeight="1">
      <c r="A31" s="4"/>
      <c r="B31" s="7" t="s">
        <v>32</v>
      </c>
      <c r="C31" s="7"/>
      <c r="D31" s="7" t="s">
        <v>33</v>
      </c>
      <c r="E31" s="7" t="s">
        <v>34</v>
      </c>
      <c r="F31" s="7" t="s">
        <v>35</v>
      </c>
      <c r="G31" s="7" t="s">
        <v>36</v>
      </c>
      <c r="H31" s="7" t="s">
        <v>37</v>
      </c>
      <c r="I31" s="7" t="s">
        <v>38</v>
      </c>
      <c r="J31" s="7" t="s">
        <v>39</v>
      </c>
    </row>
    <row r="32" spans="1:10" ht="14.25">
      <c r="A32" s="4"/>
      <c r="B32" s="26" t="s">
        <v>56</v>
      </c>
      <c r="C32" s="26"/>
      <c r="D32" s="26"/>
      <c r="E32" s="26"/>
      <c r="F32" s="26"/>
      <c r="G32" s="41"/>
      <c r="H32" s="41" t="s">
        <v>43</v>
      </c>
      <c r="I32" s="26"/>
      <c r="J32" s="26"/>
    </row>
    <row r="33" spans="2:10" ht="14.25" customHeight="1">
      <c r="B33" s="29"/>
      <c r="C33" s="29"/>
      <c r="D33" s="29"/>
      <c r="E33" s="29"/>
      <c r="F33" s="29"/>
      <c r="G33" s="29"/>
      <c r="H33" s="29"/>
      <c r="I33" s="29"/>
      <c r="J33" s="29"/>
    </row>
    <row r="34" ht="14.25" customHeight="1"/>
    <row r="35" spans="2:10" ht="14.25">
      <c r="B35" s="39" t="s">
        <v>57</v>
      </c>
      <c r="C35" s="39"/>
      <c r="D35" s="39"/>
      <c r="E35" s="39"/>
      <c r="F35" s="39"/>
      <c r="G35" s="39"/>
      <c r="H35" s="39"/>
      <c r="I35" s="39"/>
      <c r="J35" s="39"/>
    </row>
    <row r="36" spans="2:8" ht="15" customHeight="1">
      <c r="B36" s="3"/>
      <c r="C36" s="3"/>
      <c r="D36" s="3"/>
      <c r="E36" s="3"/>
      <c r="F36" s="3"/>
      <c r="G36" s="3"/>
      <c r="H36" s="3"/>
    </row>
    <row r="37" spans="1:10" ht="67.5" customHeight="1">
      <c r="A37" s="4"/>
      <c r="B37" s="42" t="s">
        <v>58</v>
      </c>
      <c r="C37" s="43" t="s">
        <v>28</v>
      </c>
      <c r="D37" s="43"/>
      <c r="E37" s="43"/>
      <c r="F37" s="43"/>
      <c r="G37" s="43" t="s">
        <v>29</v>
      </c>
      <c r="H37" s="43"/>
      <c r="I37" s="32"/>
      <c r="J37" s="13"/>
    </row>
    <row r="38" spans="1:10" ht="15" customHeight="1">
      <c r="A38" s="4"/>
      <c r="B38" s="44" t="s">
        <v>32</v>
      </c>
      <c r="C38" s="44"/>
      <c r="D38" s="44" t="s">
        <v>33</v>
      </c>
      <c r="E38" s="44" t="s">
        <v>34</v>
      </c>
      <c r="F38" s="44" t="s">
        <v>35</v>
      </c>
      <c r="G38" s="44" t="s">
        <v>36</v>
      </c>
      <c r="H38" s="44" t="s">
        <v>37</v>
      </c>
      <c r="I38" s="44" t="s">
        <v>38</v>
      </c>
      <c r="J38" s="44" t="s">
        <v>39</v>
      </c>
    </row>
    <row r="39" spans="1:10" ht="14.25">
      <c r="A39" s="4"/>
      <c r="B39" s="45" t="s">
        <v>48</v>
      </c>
      <c r="C39" s="45"/>
      <c r="D39" s="45"/>
      <c r="E39" s="45"/>
      <c r="F39" s="45"/>
      <c r="G39" s="46"/>
      <c r="H39" s="46" t="s">
        <v>59</v>
      </c>
      <c r="I39" s="45"/>
      <c r="J39" s="45"/>
    </row>
  </sheetData>
  <sheetProtection selectLockedCells="1" selectUnlockedCells="1"/>
  <mergeCells count="16">
    <mergeCell ref="B7:J7"/>
    <mergeCell ref="C9:F9"/>
    <mergeCell ref="G9:H9"/>
    <mergeCell ref="C16:F16"/>
    <mergeCell ref="G16:H16"/>
    <mergeCell ref="B22:J22"/>
    <mergeCell ref="B24:F24"/>
    <mergeCell ref="G24:J24"/>
    <mergeCell ref="B25:F25"/>
    <mergeCell ref="G25:J25"/>
    <mergeCell ref="B28:J28"/>
    <mergeCell ref="C30:F30"/>
    <mergeCell ref="G30:H30"/>
    <mergeCell ref="B35:J35"/>
    <mergeCell ref="C37:F37"/>
    <mergeCell ref="G37:H37"/>
  </mergeCells>
  <printOptions/>
  <pageMargins left="0.75" right="0.75" top="0.5" bottom="0.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M100"/>
  <sheetViews>
    <sheetView tabSelected="1" zoomScaleSheetLayoutView="100" workbookViewId="0" topLeftCell="A1">
      <selection activeCell="A1" sqref="A1"/>
    </sheetView>
  </sheetViews>
  <sheetFormatPr defaultColWidth="5.7109375" defaultRowHeight="12.75"/>
  <cols>
    <col min="1" max="1" width="6.421875" style="0" customWidth="1"/>
    <col min="2" max="2" width="49.140625" style="0" customWidth="1"/>
    <col min="3" max="6" width="0" style="0" hidden="1" customWidth="1"/>
    <col min="7" max="7" width="9.7109375" style="0" customWidth="1"/>
    <col min="8" max="8" width="14.140625" style="0" customWidth="1"/>
    <col min="9" max="9" width="22.57421875" style="0" customWidth="1"/>
    <col min="10" max="10" width="15.140625" style="0" customWidth="1"/>
    <col min="12" max="12" width="26.140625" style="47" customWidth="1"/>
    <col min="13" max="13" width="23.140625" style="47" customWidth="1"/>
  </cols>
  <sheetData>
    <row r="1" spans="1:13" ht="12.75">
      <c r="A1" s="9"/>
      <c r="L1" s="48"/>
      <c r="M1" s="48"/>
    </row>
    <row r="2" spans="2:13" ht="12.75">
      <c r="B2" s="1" t="s">
        <v>60</v>
      </c>
      <c r="L2" s="48"/>
      <c r="M2" s="48"/>
    </row>
    <row r="3" spans="12:13" ht="15" customHeight="1">
      <c r="L3" s="48"/>
      <c r="M3" s="48"/>
    </row>
    <row r="4" spans="2:13" ht="15" customHeight="1">
      <c r="B4" s="49" t="str">
        <f>HYPERLINK("GenericSubInfo!GSI_OrganizationInfo","LINK TO OrganizationInfo")</f>
        <v>LINK TO OrganizationInfo</v>
      </c>
      <c r="L4" s="48"/>
      <c r="M4" s="48"/>
    </row>
    <row r="5" spans="2:13" ht="15" customHeight="1">
      <c r="B5" s="49" t="str">
        <f>HYPERLINK("GenericSubInfo!GSI_IndividualInfo","LINK TO IndividualInfo")</f>
        <v>LINK TO IndividualInfo</v>
      </c>
      <c r="L5" s="48"/>
      <c r="M5" s="48"/>
    </row>
    <row r="6" spans="12:13" ht="15" customHeight="1">
      <c r="L6" s="48"/>
      <c r="M6" s="48"/>
    </row>
    <row r="7" spans="1:13" ht="13.5">
      <c r="A7" s="50" t="s">
        <v>61</v>
      </c>
      <c r="B7" s="50"/>
      <c r="C7" s="51"/>
      <c r="D7" s="51"/>
      <c r="E7" s="51"/>
      <c r="F7" s="51"/>
      <c r="G7" s="52"/>
      <c r="H7" s="51"/>
      <c r="J7" s="51"/>
      <c r="L7" s="48"/>
      <c r="M7" s="48"/>
    </row>
    <row r="8" spans="2:13" ht="15.75" customHeight="1">
      <c r="B8" s="53"/>
      <c r="C8" s="3"/>
      <c r="D8" s="3"/>
      <c r="E8" s="3"/>
      <c r="F8" s="3"/>
      <c r="L8" s="48"/>
      <c r="M8" s="48"/>
    </row>
    <row r="9" spans="1:13" ht="26.25" customHeight="1">
      <c r="A9" s="4"/>
      <c r="B9" s="24" t="s">
        <v>62</v>
      </c>
      <c r="C9" s="24"/>
      <c r="D9" s="24"/>
      <c r="E9" s="24"/>
      <c r="F9" s="24"/>
      <c r="G9" s="8"/>
      <c r="L9" s="48"/>
      <c r="M9" s="48"/>
    </row>
    <row r="10" spans="2:13" ht="12.75">
      <c r="B10" s="54"/>
      <c r="C10" s="10"/>
      <c r="D10" s="10"/>
      <c r="E10" s="10"/>
      <c r="F10" s="10"/>
      <c r="G10" s="3"/>
      <c r="H10" s="3"/>
      <c r="L10" s="48"/>
      <c r="M10" s="48"/>
    </row>
    <row r="11" spans="1:13" ht="12.75">
      <c r="A11" s="14"/>
      <c r="B11" s="30" t="s">
        <v>61</v>
      </c>
      <c r="C11" s="19" t="s">
        <v>28</v>
      </c>
      <c r="D11" s="19"/>
      <c r="E11" s="19"/>
      <c r="F11" s="19"/>
      <c r="G11" s="31" t="s">
        <v>29</v>
      </c>
      <c r="H11" s="31"/>
      <c r="I11" s="32"/>
      <c r="J11" s="13"/>
      <c r="L11" s="55" t="s">
        <v>63</v>
      </c>
      <c r="M11" s="48" t="s">
        <v>64</v>
      </c>
    </row>
    <row r="12" spans="1:13" ht="12.75">
      <c r="A12" s="4"/>
      <c r="B12" s="33" t="s">
        <v>32</v>
      </c>
      <c r="C12" s="23"/>
      <c r="D12" s="23" t="s">
        <v>33</v>
      </c>
      <c r="E12" s="23" t="s">
        <v>34</v>
      </c>
      <c r="F12" s="23" t="s">
        <v>35</v>
      </c>
      <c r="G12" s="56" t="s">
        <v>36</v>
      </c>
      <c r="H12" s="33" t="s">
        <v>37</v>
      </c>
      <c r="I12" s="33" t="s">
        <v>38</v>
      </c>
      <c r="J12" s="23" t="s">
        <v>39</v>
      </c>
      <c r="K12" s="8"/>
      <c r="L12" s="48"/>
      <c r="M12" s="48"/>
    </row>
    <row r="13" spans="1:13" ht="13.5">
      <c r="A13" s="4"/>
      <c r="B13" s="57" t="s">
        <v>65</v>
      </c>
      <c r="C13" s="24"/>
      <c r="D13" s="25"/>
      <c r="E13" s="25"/>
      <c r="F13" s="25"/>
      <c r="G13" s="58" t="s">
        <v>41</v>
      </c>
      <c r="H13" s="24"/>
      <c r="I13" s="24"/>
      <c r="J13" s="25"/>
      <c r="K13" s="8"/>
      <c r="L13" s="55" t="s">
        <v>66</v>
      </c>
      <c r="M13" s="48"/>
    </row>
    <row r="14" spans="1:13" ht="13.5">
      <c r="A14" s="4"/>
      <c r="B14" s="57" t="s">
        <v>67</v>
      </c>
      <c r="C14" s="24"/>
      <c r="D14" s="25"/>
      <c r="E14" s="25"/>
      <c r="F14" s="25"/>
      <c r="G14" s="58" t="s">
        <v>41</v>
      </c>
      <c r="H14" s="24"/>
      <c r="I14" s="59" t="str">
        <f>HYPERLINK("ContactDetails_Organization","ContactDetails")</f>
        <v>ContactDetails</v>
      </c>
      <c r="J14" s="25"/>
      <c r="K14" s="8"/>
      <c r="L14" s="55" t="s">
        <v>68</v>
      </c>
      <c r="M14" s="48"/>
    </row>
    <row r="15" spans="1:13" ht="26.25">
      <c r="A15" s="4"/>
      <c r="B15" s="57" t="s">
        <v>69</v>
      </c>
      <c r="C15" s="24"/>
      <c r="D15" s="25"/>
      <c r="E15" s="25"/>
      <c r="F15" s="25"/>
      <c r="G15" s="58" t="s">
        <v>41</v>
      </c>
      <c r="H15" s="24"/>
      <c r="I15" s="24" t="s">
        <v>70</v>
      </c>
      <c r="J15" s="25"/>
      <c r="K15" s="8"/>
      <c r="L15" s="55" t="s">
        <v>71</v>
      </c>
      <c r="M15" s="48" t="s">
        <v>72</v>
      </c>
    </row>
    <row r="16" spans="2:13" ht="12.75">
      <c r="B16" s="60"/>
      <c r="C16" s="54"/>
      <c r="D16" s="54"/>
      <c r="E16" s="54"/>
      <c r="F16" s="54"/>
      <c r="G16" s="61"/>
      <c r="H16" s="54"/>
      <c r="I16" s="62"/>
      <c r="J16" s="62"/>
      <c r="L16" s="48"/>
      <c r="M16" s="48"/>
    </row>
    <row r="17" spans="1:13" ht="12.75">
      <c r="A17" s="4"/>
      <c r="B17" s="30" t="s">
        <v>73</v>
      </c>
      <c r="C17" s="19" t="s">
        <v>28</v>
      </c>
      <c r="D17" s="19"/>
      <c r="E17" s="19"/>
      <c r="F17" s="19"/>
      <c r="G17" s="31" t="s">
        <v>29</v>
      </c>
      <c r="H17" s="31"/>
      <c r="I17" s="32"/>
      <c r="J17" s="13"/>
      <c r="L17" s="48"/>
      <c r="M17" s="48"/>
    </row>
    <row r="18" spans="1:13" ht="12.75">
      <c r="A18" s="4"/>
      <c r="B18" s="33" t="s">
        <v>32</v>
      </c>
      <c r="C18" s="23"/>
      <c r="D18" s="23" t="s">
        <v>33</v>
      </c>
      <c r="E18" s="23" t="s">
        <v>34</v>
      </c>
      <c r="F18" s="23" t="s">
        <v>35</v>
      </c>
      <c r="G18" s="56" t="s">
        <v>36</v>
      </c>
      <c r="H18" s="33" t="s">
        <v>37</v>
      </c>
      <c r="I18" s="33" t="s">
        <v>38</v>
      </c>
      <c r="J18" s="23" t="s">
        <v>39</v>
      </c>
      <c r="K18" s="8"/>
      <c r="L18" s="48"/>
      <c r="M18" s="48"/>
    </row>
    <row r="19" spans="1:13" ht="12.75">
      <c r="A19" s="4"/>
      <c r="B19" s="63" t="s">
        <v>74</v>
      </c>
      <c r="C19" s="22"/>
      <c r="D19" s="23"/>
      <c r="E19" s="23"/>
      <c r="F19" s="23"/>
      <c r="G19" s="64" t="s">
        <v>41</v>
      </c>
      <c r="H19" s="22"/>
      <c r="I19" s="59" t="str">
        <f>HYPERLINK("AddressInformation_Organization","AddressInformation")</f>
        <v>AddressInformation</v>
      </c>
      <c r="J19" s="23"/>
      <c r="K19" s="8"/>
      <c r="L19" s="55" t="s">
        <v>75</v>
      </c>
      <c r="M19" s="48"/>
    </row>
    <row r="20" spans="1:13" ht="12.75">
      <c r="A20" s="4"/>
      <c r="B20" s="57" t="s">
        <v>76</v>
      </c>
      <c r="C20" s="34"/>
      <c r="D20" s="35"/>
      <c r="E20" s="35"/>
      <c r="F20" s="35"/>
      <c r="G20" s="65" t="s">
        <v>41</v>
      </c>
      <c r="H20" s="22"/>
      <c r="I20" s="22"/>
      <c r="J20" s="23"/>
      <c r="K20" s="8"/>
      <c r="L20" s="55" t="s">
        <v>77</v>
      </c>
      <c r="M20" s="48"/>
    </row>
    <row r="21" spans="1:13" ht="51.75">
      <c r="A21" s="4"/>
      <c r="B21" s="57" t="s">
        <v>78</v>
      </c>
      <c r="C21" s="34"/>
      <c r="D21" s="35"/>
      <c r="E21" s="35"/>
      <c r="F21" s="35"/>
      <c r="G21" s="65" t="s">
        <v>41</v>
      </c>
      <c r="H21" s="22"/>
      <c r="I21" s="24" t="s">
        <v>79</v>
      </c>
      <c r="J21" s="23"/>
      <c r="K21" s="8"/>
      <c r="L21" s="66">
        <f>41712985849</f>
        <v>41712985849</v>
      </c>
      <c r="M21" s="48"/>
    </row>
    <row r="22" spans="1:13" ht="51.75">
      <c r="A22" s="4"/>
      <c r="B22" s="57" t="s">
        <v>80</v>
      </c>
      <c r="C22" s="34"/>
      <c r="D22" s="35"/>
      <c r="E22" s="35"/>
      <c r="F22" s="35"/>
      <c r="G22" s="65" t="s">
        <v>41</v>
      </c>
      <c r="H22" s="22"/>
      <c r="I22" s="24" t="s">
        <v>81</v>
      </c>
      <c r="J22" s="23"/>
      <c r="K22" s="8"/>
      <c r="L22" s="55" t="s">
        <v>82</v>
      </c>
      <c r="M22" s="48"/>
    </row>
    <row r="23" spans="2:13" ht="14.25" customHeight="1">
      <c r="B23" s="10"/>
      <c r="C23" s="10"/>
      <c r="D23" s="10"/>
      <c r="E23" s="10"/>
      <c r="F23" s="10"/>
      <c r="G23" s="10"/>
      <c r="H23" s="10"/>
      <c r="I23" s="29"/>
      <c r="J23" s="29"/>
      <c r="L23" s="48"/>
      <c r="M23" s="48"/>
    </row>
    <row r="24" spans="1:13" ht="12.75">
      <c r="A24" s="4"/>
      <c r="B24" s="30" t="s">
        <v>83</v>
      </c>
      <c r="C24" s="19" t="s">
        <v>28</v>
      </c>
      <c r="D24" s="19"/>
      <c r="E24" s="19"/>
      <c r="F24" s="19"/>
      <c r="G24" s="31" t="s">
        <v>29</v>
      </c>
      <c r="H24" s="31"/>
      <c r="I24" s="32"/>
      <c r="J24" s="13"/>
      <c r="L24" s="48"/>
      <c r="M24" s="48"/>
    </row>
    <row r="25" spans="1:13" ht="12.75">
      <c r="A25" s="4"/>
      <c r="B25" s="33" t="s">
        <v>32</v>
      </c>
      <c r="C25" s="23"/>
      <c r="D25" s="23" t="s">
        <v>33</v>
      </c>
      <c r="E25" s="23" t="s">
        <v>34</v>
      </c>
      <c r="F25" s="23" t="s">
        <v>35</v>
      </c>
      <c r="G25" s="56" t="s">
        <v>36</v>
      </c>
      <c r="H25" s="33" t="s">
        <v>37</v>
      </c>
      <c r="I25" s="33" t="s">
        <v>38</v>
      </c>
      <c r="J25" s="23" t="s">
        <v>39</v>
      </c>
      <c r="K25" s="8"/>
      <c r="L25" s="48"/>
      <c r="M25" s="48"/>
    </row>
    <row r="26" spans="1:13" ht="12.75">
      <c r="A26" s="4"/>
      <c r="B26" s="57" t="s">
        <v>84</v>
      </c>
      <c r="C26" s="34"/>
      <c r="D26" s="35"/>
      <c r="E26" s="35"/>
      <c r="F26" s="35"/>
      <c r="G26" s="65" t="s">
        <v>41</v>
      </c>
      <c r="H26" s="22"/>
      <c r="I26" s="22"/>
      <c r="J26" s="23"/>
      <c r="K26" s="8"/>
      <c r="L26" s="55">
        <v>2</v>
      </c>
      <c r="M26" s="48"/>
    </row>
    <row r="27" spans="1:13" ht="12.75">
      <c r="A27" s="4"/>
      <c r="B27" s="57" t="s">
        <v>85</v>
      </c>
      <c r="C27" s="34"/>
      <c r="D27" s="35"/>
      <c r="E27" s="35"/>
      <c r="F27" s="35"/>
      <c r="G27" s="65" t="s">
        <v>41</v>
      </c>
      <c r="H27" s="22"/>
      <c r="I27" s="22"/>
      <c r="J27" s="23"/>
      <c r="K27" s="8"/>
      <c r="L27" s="55" t="s">
        <v>86</v>
      </c>
      <c r="M27" s="48"/>
    </row>
    <row r="28" spans="1:13" ht="12.75">
      <c r="A28" s="4"/>
      <c r="B28" s="57" t="s">
        <v>87</v>
      </c>
      <c r="C28" s="34"/>
      <c r="D28" s="35"/>
      <c r="E28" s="35"/>
      <c r="F28" s="35"/>
      <c r="G28" s="65" t="s">
        <v>41</v>
      </c>
      <c r="H28" s="22"/>
      <c r="I28" s="22"/>
      <c r="J28" s="23"/>
      <c r="K28" s="8"/>
      <c r="L28" s="55" t="s">
        <v>88</v>
      </c>
      <c r="M28" s="48"/>
    </row>
    <row r="29" spans="1:13" ht="12.75">
      <c r="A29" s="4"/>
      <c r="B29" s="57" t="s">
        <v>89</v>
      </c>
      <c r="C29" s="34"/>
      <c r="D29" s="35"/>
      <c r="E29" s="35"/>
      <c r="F29" s="35"/>
      <c r="G29" s="65" t="s">
        <v>41</v>
      </c>
      <c r="H29" s="22"/>
      <c r="I29" s="22"/>
      <c r="J29" s="23"/>
      <c r="K29" s="8"/>
      <c r="L29" s="55" t="s">
        <v>90</v>
      </c>
      <c r="M29" s="48"/>
    </row>
    <row r="30" spans="1:13" ht="12.75">
      <c r="A30" s="4"/>
      <c r="B30" s="57" t="s">
        <v>91</v>
      </c>
      <c r="C30" s="34"/>
      <c r="D30" s="35"/>
      <c r="E30" s="35"/>
      <c r="F30" s="35"/>
      <c r="G30" s="65" t="s">
        <v>41</v>
      </c>
      <c r="H30" s="22"/>
      <c r="I30" s="22"/>
      <c r="J30" s="23"/>
      <c r="K30" s="8"/>
      <c r="L30" s="48" t="s">
        <v>92</v>
      </c>
      <c r="M30" s="48"/>
    </row>
    <row r="31" spans="1:13" ht="12.75">
      <c r="A31" s="4"/>
      <c r="B31" s="57" t="s">
        <v>93</v>
      </c>
      <c r="C31" s="34"/>
      <c r="D31" s="35"/>
      <c r="E31" s="35"/>
      <c r="F31" s="35"/>
      <c r="G31" s="65" t="s">
        <v>41</v>
      </c>
      <c r="H31" s="22"/>
      <c r="I31" s="22" t="s">
        <v>94</v>
      </c>
      <c r="J31" s="23"/>
      <c r="K31" s="8"/>
      <c r="L31" s="55">
        <v>8045</v>
      </c>
      <c r="M31" s="48"/>
    </row>
    <row r="32" spans="1:13" ht="12.75">
      <c r="A32" s="4"/>
      <c r="B32" s="67" t="s">
        <v>95</v>
      </c>
      <c r="C32" s="68"/>
      <c r="D32" s="68"/>
      <c r="E32" s="68"/>
      <c r="F32" s="68"/>
      <c r="G32" s="69"/>
      <c r="H32" s="7" t="s">
        <v>43</v>
      </c>
      <c r="I32" s="7"/>
      <c r="J32" s="7"/>
      <c r="K32" s="8"/>
      <c r="L32" s="48"/>
      <c r="M32" s="48"/>
    </row>
    <row r="33" spans="1:13" ht="34.5">
      <c r="A33" s="4"/>
      <c r="B33" s="57" t="s">
        <v>96</v>
      </c>
      <c r="C33" s="34"/>
      <c r="D33" s="35"/>
      <c r="E33" s="35"/>
      <c r="F33" s="35"/>
      <c r="G33" s="65" t="s">
        <v>41</v>
      </c>
      <c r="H33" s="22"/>
      <c r="I33" s="18" t="s">
        <v>97</v>
      </c>
      <c r="J33" s="23"/>
      <c r="K33" s="8"/>
      <c r="L33" s="55" t="s">
        <v>98</v>
      </c>
      <c r="M33" s="48"/>
    </row>
    <row r="34" spans="1:13" ht="12.75">
      <c r="A34" s="4"/>
      <c r="B34" s="67" t="s">
        <v>99</v>
      </c>
      <c r="C34" s="68"/>
      <c r="D34" s="68"/>
      <c r="E34" s="68"/>
      <c r="F34" s="68"/>
      <c r="G34" s="69"/>
      <c r="H34" s="7" t="s">
        <v>43</v>
      </c>
      <c r="I34" s="7"/>
      <c r="J34" s="7"/>
      <c r="K34" s="8"/>
      <c r="L34" s="48"/>
      <c r="M34" s="48"/>
    </row>
    <row r="35" spans="1:13" ht="12.75">
      <c r="A35" s="4"/>
      <c r="B35" s="57" t="s">
        <v>100</v>
      </c>
      <c r="C35" s="34"/>
      <c r="D35" s="35"/>
      <c r="E35" s="35"/>
      <c r="F35" s="35"/>
      <c r="G35" s="65" t="s">
        <v>41</v>
      </c>
      <c r="H35" s="22"/>
      <c r="I35" s="22"/>
      <c r="J35" s="23"/>
      <c r="K35" s="8"/>
      <c r="L35" s="55" t="s">
        <v>101</v>
      </c>
      <c r="M35" s="48"/>
    </row>
    <row r="36" spans="1:13" ht="12.75">
      <c r="A36" s="4"/>
      <c r="B36" s="57" t="s">
        <v>102</v>
      </c>
      <c r="C36" s="34"/>
      <c r="D36" s="35"/>
      <c r="E36" s="35"/>
      <c r="F36" s="35"/>
      <c r="G36" s="65" t="s">
        <v>41</v>
      </c>
      <c r="H36" s="22"/>
      <c r="I36" s="22"/>
      <c r="J36" s="23"/>
      <c r="K36" s="8"/>
      <c r="L36" s="55" t="s">
        <v>103</v>
      </c>
      <c r="M36" s="48"/>
    </row>
    <row r="37" spans="1:13" ht="12.75">
      <c r="A37" s="4"/>
      <c r="B37" s="57" t="s">
        <v>104</v>
      </c>
      <c r="C37" s="34"/>
      <c r="D37" s="35"/>
      <c r="E37" s="70"/>
      <c r="F37" s="35"/>
      <c r="G37" s="65" t="s">
        <v>41</v>
      </c>
      <c r="H37" s="22"/>
      <c r="I37" s="22"/>
      <c r="J37" s="23"/>
      <c r="K37" s="8"/>
      <c r="L37" s="55" t="s">
        <v>105</v>
      </c>
      <c r="M37" s="48"/>
    </row>
    <row r="38" spans="1:13" ht="12.75">
      <c r="A38" s="4"/>
      <c r="B38" s="57" t="s">
        <v>106</v>
      </c>
      <c r="C38" s="34"/>
      <c r="D38" s="35"/>
      <c r="E38" s="70"/>
      <c r="F38" s="35"/>
      <c r="G38" s="65" t="s">
        <v>41</v>
      </c>
      <c r="H38" s="22"/>
      <c r="I38" s="22"/>
      <c r="J38" s="23"/>
      <c r="K38" s="8"/>
      <c r="L38" s="71" t="s">
        <v>107</v>
      </c>
      <c r="M38" s="48"/>
    </row>
    <row r="39" spans="1:13" ht="12.75">
      <c r="A39" s="4"/>
      <c r="B39" s="57" t="s">
        <v>108</v>
      </c>
      <c r="C39" s="34"/>
      <c r="D39" s="35"/>
      <c r="E39" s="70"/>
      <c r="F39" s="35"/>
      <c r="G39" s="65" t="s">
        <v>41</v>
      </c>
      <c r="H39" s="22"/>
      <c r="I39" s="22"/>
      <c r="J39" s="23"/>
      <c r="K39" s="8"/>
      <c r="L39" s="55" t="s">
        <v>86</v>
      </c>
      <c r="M39" s="48"/>
    </row>
    <row r="40" spans="1:13" ht="12.75">
      <c r="A40" s="4"/>
      <c r="B40" s="67" t="s">
        <v>109</v>
      </c>
      <c r="C40" s="68"/>
      <c r="D40" s="68"/>
      <c r="E40" s="68"/>
      <c r="F40" s="68"/>
      <c r="G40" s="69"/>
      <c r="H40" s="7" t="s">
        <v>43</v>
      </c>
      <c r="I40" s="7"/>
      <c r="J40" s="7"/>
      <c r="K40" s="8"/>
      <c r="L40" s="48"/>
      <c r="M40" s="48"/>
    </row>
    <row r="41" spans="2:13" ht="14.25" customHeight="1">
      <c r="B41" s="29"/>
      <c r="C41" s="29"/>
      <c r="D41" s="29"/>
      <c r="E41" s="29"/>
      <c r="F41" s="29"/>
      <c r="G41" s="29"/>
      <c r="H41" s="29"/>
      <c r="I41" s="29"/>
      <c r="J41" s="29"/>
      <c r="L41" s="48"/>
      <c r="M41" s="48"/>
    </row>
    <row r="42" spans="12:13" ht="14.25" customHeight="1">
      <c r="L42" s="48"/>
      <c r="M42" s="48"/>
    </row>
    <row r="43" spans="1:13" ht="13.5">
      <c r="A43" s="50" t="s">
        <v>110</v>
      </c>
      <c r="B43" s="50"/>
      <c r="C43" s="51"/>
      <c r="D43" s="51"/>
      <c r="E43" s="51"/>
      <c r="F43" s="51"/>
      <c r="G43" s="52"/>
      <c r="H43" s="51"/>
      <c r="I43" s="51"/>
      <c r="J43" s="51"/>
      <c r="L43" s="48"/>
      <c r="M43" s="48"/>
    </row>
    <row r="44" spans="2:13" ht="14.25" customHeight="1">
      <c r="B44" s="3"/>
      <c r="C44" s="3"/>
      <c r="D44" s="3"/>
      <c r="E44" s="3"/>
      <c r="F44" s="3"/>
      <c r="G44" s="3"/>
      <c r="H44" s="3"/>
      <c r="L44" s="48"/>
      <c r="M44" s="48"/>
    </row>
    <row r="45" spans="1:13" ht="12.75">
      <c r="A45" s="4"/>
      <c r="B45" s="30" t="s">
        <v>110</v>
      </c>
      <c r="C45" s="19" t="s">
        <v>28</v>
      </c>
      <c r="D45" s="19"/>
      <c r="E45" s="19"/>
      <c r="F45" s="19"/>
      <c r="G45" s="31" t="s">
        <v>29</v>
      </c>
      <c r="H45" s="31"/>
      <c r="I45" s="32"/>
      <c r="J45" s="13"/>
      <c r="L45" s="48"/>
      <c r="M45" s="48"/>
    </row>
    <row r="46" spans="1:13" ht="12.75">
      <c r="A46" s="4"/>
      <c r="B46" s="33" t="s">
        <v>32</v>
      </c>
      <c r="C46" s="23"/>
      <c r="D46" s="23" t="s">
        <v>33</v>
      </c>
      <c r="E46" s="23" t="s">
        <v>34</v>
      </c>
      <c r="F46" s="23" t="s">
        <v>35</v>
      </c>
      <c r="G46" s="56" t="s">
        <v>36</v>
      </c>
      <c r="H46" s="33" t="s">
        <v>37</v>
      </c>
      <c r="I46" s="33" t="s">
        <v>38</v>
      </c>
      <c r="J46" s="23" t="s">
        <v>39</v>
      </c>
      <c r="K46" s="8"/>
      <c r="L46" s="48"/>
      <c r="M46" s="48"/>
    </row>
    <row r="47" spans="1:13" ht="13.5">
      <c r="A47" s="4"/>
      <c r="B47" s="57" t="s">
        <v>65</v>
      </c>
      <c r="C47" s="24"/>
      <c r="D47" s="25"/>
      <c r="E47" s="25"/>
      <c r="F47" s="25"/>
      <c r="G47" s="58" t="s">
        <v>41</v>
      </c>
      <c r="H47" s="24"/>
      <c r="I47" s="27" t="str">
        <f>HYPERLINK("PersonName","PersonName")</f>
        <v>PersonName</v>
      </c>
      <c r="J47" s="25"/>
      <c r="K47" s="8"/>
      <c r="L47" s="55" t="s">
        <v>111</v>
      </c>
      <c r="M47" s="48"/>
    </row>
    <row r="48" spans="1:13" ht="13.5">
      <c r="A48" s="4"/>
      <c r="B48" s="57" t="s">
        <v>112</v>
      </c>
      <c r="C48" s="24"/>
      <c r="D48" s="25"/>
      <c r="E48" s="25"/>
      <c r="F48" s="25"/>
      <c r="G48" s="58" t="s">
        <v>41</v>
      </c>
      <c r="H48" s="24"/>
      <c r="I48" s="27" t="str">
        <f>HYPERLINK("ContactDetails_IndividualInfo","ContactDetails")</f>
        <v>ContactDetails</v>
      </c>
      <c r="J48" s="25"/>
      <c r="K48" s="8"/>
      <c r="L48" s="55" t="s">
        <v>113</v>
      </c>
      <c r="M48" s="48"/>
    </row>
    <row r="49" spans="1:13" ht="13.5">
      <c r="A49" s="4"/>
      <c r="B49" s="57" t="s">
        <v>114</v>
      </c>
      <c r="C49" s="24"/>
      <c r="D49" s="25"/>
      <c r="E49" s="25"/>
      <c r="F49" s="25"/>
      <c r="G49" s="58" t="s">
        <v>41</v>
      </c>
      <c r="H49" s="24"/>
      <c r="I49" s="24" t="s">
        <v>115</v>
      </c>
      <c r="J49" s="25"/>
      <c r="K49" s="8"/>
      <c r="L49" s="71" t="s">
        <v>116</v>
      </c>
      <c r="M49" s="72">
        <v>29341</v>
      </c>
    </row>
    <row r="50" spans="1:13" ht="13.5">
      <c r="A50" s="4"/>
      <c r="B50" s="57" t="s">
        <v>117</v>
      </c>
      <c r="C50" s="24"/>
      <c r="D50" s="25"/>
      <c r="E50" s="25"/>
      <c r="F50" s="25"/>
      <c r="G50" s="58" t="s">
        <v>41</v>
      </c>
      <c r="H50" s="24"/>
      <c r="I50" s="27" t="str">
        <f>HYPERLINK("gender","gender")</f>
        <v>gender</v>
      </c>
      <c r="J50" s="25"/>
      <c r="K50" s="8"/>
      <c r="L50" s="55" t="s">
        <v>118</v>
      </c>
      <c r="M50" s="48"/>
    </row>
    <row r="51" spans="1:13" ht="13.5">
      <c r="A51" s="4"/>
      <c r="B51" s="67" t="s">
        <v>119</v>
      </c>
      <c r="C51" s="26"/>
      <c r="D51" s="26"/>
      <c r="E51" s="26"/>
      <c r="F51" s="26"/>
      <c r="G51" s="73"/>
      <c r="H51" s="26" t="s">
        <v>43</v>
      </c>
      <c r="I51" s="26"/>
      <c r="J51" s="26"/>
      <c r="K51" s="8"/>
      <c r="L51" s="48"/>
      <c r="M51" s="48"/>
    </row>
    <row r="52" spans="1:13" ht="23.25">
      <c r="A52" s="4"/>
      <c r="B52" s="57" t="s">
        <v>120</v>
      </c>
      <c r="C52" s="24"/>
      <c r="D52" s="25"/>
      <c r="E52" s="25"/>
      <c r="F52" s="25"/>
      <c r="G52" s="58" t="s">
        <v>41</v>
      </c>
      <c r="H52" s="24"/>
      <c r="I52" s="27" t="str">
        <f>HYPERLINK("GenericSubInfo!GSI_Individual_AuthenticationInfo","AuthenticationInfo")</f>
        <v>AuthenticationInfo</v>
      </c>
      <c r="J52" s="25"/>
      <c r="K52" s="8"/>
      <c r="L52" s="74" t="s">
        <v>121</v>
      </c>
      <c r="M52" s="48"/>
    </row>
    <row r="53" spans="1:13" ht="13.5">
      <c r="A53" s="4"/>
      <c r="B53" s="57" t="s">
        <v>122</v>
      </c>
      <c r="C53" s="24"/>
      <c r="D53" s="25"/>
      <c r="E53" s="25"/>
      <c r="F53" s="25"/>
      <c r="G53" s="58" t="s">
        <v>41</v>
      </c>
      <c r="H53" s="24"/>
      <c r="I53" s="24" t="s">
        <v>123</v>
      </c>
      <c r="J53" s="25"/>
      <c r="K53" s="8"/>
      <c r="L53" s="55" t="s">
        <v>124</v>
      </c>
      <c r="M53" s="48"/>
    </row>
    <row r="54" spans="2:13" ht="12.75">
      <c r="B54" s="60"/>
      <c r="C54" s="54"/>
      <c r="D54" s="54"/>
      <c r="E54" s="54"/>
      <c r="F54" s="54"/>
      <c r="G54" s="61"/>
      <c r="H54" s="54"/>
      <c r="I54" s="62"/>
      <c r="J54" s="62"/>
      <c r="L54" s="48"/>
      <c r="M54" s="48"/>
    </row>
    <row r="55" spans="1:13" ht="12.75">
      <c r="A55" s="4"/>
      <c r="B55" s="30" t="s">
        <v>73</v>
      </c>
      <c r="C55" s="19" t="s">
        <v>28</v>
      </c>
      <c r="D55" s="19"/>
      <c r="E55" s="19"/>
      <c r="F55" s="19"/>
      <c r="G55" s="31" t="s">
        <v>29</v>
      </c>
      <c r="H55" s="31"/>
      <c r="I55" s="75"/>
      <c r="J55" s="3"/>
      <c r="L55" s="48"/>
      <c r="M55" s="48"/>
    </row>
    <row r="56" spans="1:13" ht="12.75">
      <c r="A56" s="4"/>
      <c r="B56" s="33" t="s">
        <v>32</v>
      </c>
      <c r="C56" s="23"/>
      <c r="D56" s="23" t="s">
        <v>33</v>
      </c>
      <c r="E56" s="23" t="s">
        <v>34</v>
      </c>
      <c r="F56" s="23" t="s">
        <v>35</v>
      </c>
      <c r="G56" s="56" t="s">
        <v>36</v>
      </c>
      <c r="H56" s="33" t="s">
        <v>37</v>
      </c>
      <c r="I56" s="33" t="s">
        <v>38</v>
      </c>
      <c r="J56" s="23" t="s">
        <v>39</v>
      </c>
      <c r="K56" s="8"/>
      <c r="L56" s="48"/>
      <c r="M56" s="48"/>
    </row>
    <row r="57" spans="1:13" ht="12.75">
      <c r="A57" s="4"/>
      <c r="B57" s="63" t="s">
        <v>74</v>
      </c>
      <c r="C57" s="22"/>
      <c r="D57" s="23"/>
      <c r="E57" s="23"/>
      <c r="F57" s="23"/>
      <c r="G57" s="64" t="s">
        <v>41</v>
      </c>
      <c r="H57" s="22"/>
      <c r="I57" s="59" t="str">
        <f>HYPERLINK("GenericSubInfo!GSI_Individual_AddressInformation","AddressInformation")</f>
        <v>AddressInformation</v>
      </c>
      <c r="J57" s="23"/>
      <c r="K57" s="8"/>
      <c r="L57" s="55" t="s">
        <v>125</v>
      </c>
      <c r="M57" s="48"/>
    </row>
    <row r="58" spans="1:13" ht="12.75">
      <c r="A58" s="4"/>
      <c r="B58" s="57" t="s">
        <v>76</v>
      </c>
      <c r="C58" s="34"/>
      <c r="D58" s="35"/>
      <c r="E58" s="35"/>
      <c r="F58" s="35"/>
      <c r="G58" s="65" t="s">
        <v>41</v>
      </c>
      <c r="H58" s="22"/>
      <c r="I58" s="22"/>
      <c r="J58" s="23"/>
      <c r="K58" s="8"/>
      <c r="L58" t="str">
        <f>HYPERLINK("mailto:taxi@bluewin.ch","taxi@bluewin.ch")</f>
        <v>taxi@bluewin.ch</v>
      </c>
      <c r="M58" s="48"/>
    </row>
    <row r="59" spans="1:13" ht="51.75">
      <c r="A59" s="4"/>
      <c r="B59" s="57" t="s">
        <v>78</v>
      </c>
      <c r="C59" s="34"/>
      <c r="D59" s="35"/>
      <c r="E59" s="35"/>
      <c r="F59" s="35"/>
      <c r="G59" s="65" t="s">
        <v>41</v>
      </c>
      <c r="H59" s="22"/>
      <c r="I59" s="24" t="s">
        <v>79</v>
      </c>
      <c r="J59" s="23"/>
      <c r="K59" s="8"/>
      <c r="L59" s="55">
        <v>41794856978</v>
      </c>
      <c r="M59" s="48"/>
    </row>
    <row r="60" spans="1:13" ht="51.75">
      <c r="A60" s="4"/>
      <c r="B60" s="57" t="s">
        <v>80</v>
      </c>
      <c r="C60" s="34"/>
      <c r="D60" s="35"/>
      <c r="E60" s="35"/>
      <c r="F60" s="35"/>
      <c r="G60" s="65" t="s">
        <v>41</v>
      </c>
      <c r="H60" s="22"/>
      <c r="I60" s="24" t="s">
        <v>81</v>
      </c>
      <c r="J60" s="23"/>
      <c r="K60" s="8"/>
      <c r="L60" t="str">
        <f>HYPERLINK("mailto:taxi@gmx.ch","taxi@gmx.ch")</f>
        <v>taxi@gmx.ch</v>
      </c>
      <c r="M60" s="48"/>
    </row>
    <row r="61" spans="2:13" ht="12.75">
      <c r="B61" s="60"/>
      <c r="C61" s="54"/>
      <c r="D61" s="54"/>
      <c r="E61" s="54"/>
      <c r="F61" s="54"/>
      <c r="G61" s="61"/>
      <c r="H61" s="54"/>
      <c r="I61" s="62"/>
      <c r="J61" s="62"/>
      <c r="L61" s="48"/>
      <c r="M61" s="48"/>
    </row>
    <row r="62" spans="1:13" ht="12.75">
      <c r="A62" s="4"/>
      <c r="B62" s="30" t="s">
        <v>126</v>
      </c>
      <c r="C62" s="19" t="s">
        <v>28</v>
      </c>
      <c r="D62" s="19"/>
      <c r="E62" s="19"/>
      <c r="F62" s="19"/>
      <c r="G62" s="31" t="s">
        <v>29</v>
      </c>
      <c r="H62" s="31"/>
      <c r="I62" s="32"/>
      <c r="J62" s="13"/>
      <c r="L62" s="48"/>
      <c r="M62" s="48"/>
    </row>
    <row r="63" spans="1:13" ht="12.75">
      <c r="A63" s="4"/>
      <c r="B63" s="33" t="s">
        <v>32</v>
      </c>
      <c r="C63" s="23"/>
      <c r="D63" s="23" t="s">
        <v>33</v>
      </c>
      <c r="E63" s="23" t="s">
        <v>34</v>
      </c>
      <c r="F63" s="23" t="s">
        <v>35</v>
      </c>
      <c r="G63" s="56" t="s">
        <v>36</v>
      </c>
      <c r="H63" s="33" t="s">
        <v>37</v>
      </c>
      <c r="I63" s="33" t="s">
        <v>38</v>
      </c>
      <c r="J63" s="23" t="s">
        <v>39</v>
      </c>
      <c r="K63" s="8"/>
      <c r="L63" s="48"/>
      <c r="M63" s="48"/>
    </row>
    <row r="64" spans="1:13" ht="12.75">
      <c r="A64" s="4"/>
      <c r="B64" s="57" t="s">
        <v>127</v>
      </c>
      <c r="C64" s="34"/>
      <c r="D64" s="35"/>
      <c r="E64" s="35"/>
      <c r="F64" s="35"/>
      <c r="G64" s="65" t="s">
        <v>41</v>
      </c>
      <c r="H64" s="22"/>
      <c r="I64" s="34"/>
      <c r="J64" s="23"/>
      <c r="K64" s="8"/>
      <c r="L64" s="55" t="s">
        <v>128</v>
      </c>
      <c r="M64" s="48"/>
    </row>
    <row r="65" spans="1:13" ht="34.5">
      <c r="A65" s="4"/>
      <c r="B65" s="57" t="s">
        <v>129</v>
      </c>
      <c r="C65" s="34"/>
      <c r="D65" s="35"/>
      <c r="E65" s="35"/>
      <c r="F65" s="35"/>
      <c r="G65" s="65" t="s">
        <v>41</v>
      </c>
      <c r="H65" s="22"/>
      <c r="I65" s="34" t="s">
        <v>130</v>
      </c>
      <c r="J65" s="23"/>
      <c r="K65" s="8"/>
      <c r="L65" s="55" t="s">
        <v>131</v>
      </c>
      <c r="M65" s="48"/>
    </row>
    <row r="66" spans="1:13" ht="34.5">
      <c r="A66" s="4"/>
      <c r="B66" s="57" t="s">
        <v>132</v>
      </c>
      <c r="C66" s="34"/>
      <c r="D66" s="35"/>
      <c r="E66" s="35"/>
      <c r="F66" s="35"/>
      <c r="G66" s="65" t="s">
        <v>41</v>
      </c>
      <c r="H66" s="22"/>
      <c r="I66" s="34" t="s">
        <v>133</v>
      </c>
      <c r="J66" s="23"/>
      <c r="K66" s="8"/>
      <c r="L66" s="55" t="s">
        <v>134</v>
      </c>
      <c r="M66" s="48"/>
    </row>
    <row r="67" spans="1:13" ht="23.25">
      <c r="A67" s="4"/>
      <c r="B67" s="57" t="s">
        <v>135</v>
      </c>
      <c r="C67" s="34"/>
      <c r="D67" s="35"/>
      <c r="E67" s="35"/>
      <c r="F67" s="35"/>
      <c r="G67" s="65" t="s">
        <v>41</v>
      </c>
      <c r="H67" s="22"/>
      <c r="I67" s="34" t="s">
        <v>136</v>
      </c>
      <c r="J67" s="23"/>
      <c r="K67" s="8"/>
      <c r="L67" s="55" t="s">
        <v>86</v>
      </c>
      <c r="M67" s="48"/>
    </row>
    <row r="68" spans="1:13" ht="45.75">
      <c r="A68" s="4"/>
      <c r="B68" s="57" t="s">
        <v>137</v>
      </c>
      <c r="C68" s="34"/>
      <c r="D68" s="35"/>
      <c r="E68" s="35"/>
      <c r="F68" s="35"/>
      <c r="G68" s="65" t="s">
        <v>41</v>
      </c>
      <c r="H68" s="22"/>
      <c r="I68" s="34" t="s">
        <v>138</v>
      </c>
      <c r="J68" s="23"/>
      <c r="K68" s="8"/>
      <c r="L68" s="55" t="s">
        <v>139</v>
      </c>
      <c r="M68" s="48"/>
    </row>
    <row r="69" spans="1:13" ht="23.25">
      <c r="A69" s="4"/>
      <c r="B69" s="57" t="s">
        <v>140</v>
      </c>
      <c r="C69" s="34"/>
      <c r="D69" s="35"/>
      <c r="E69" s="35"/>
      <c r="F69" s="35"/>
      <c r="G69" s="65" t="s">
        <v>41</v>
      </c>
      <c r="H69" s="22"/>
      <c r="I69" s="34" t="s">
        <v>141</v>
      </c>
      <c r="J69" s="23"/>
      <c r="K69" s="8"/>
      <c r="L69" s="55" t="s">
        <v>142</v>
      </c>
      <c r="M69" s="48"/>
    </row>
    <row r="70" spans="1:13" ht="23.25">
      <c r="A70" s="4"/>
      <c r="B70" s="57" t="s">
        <v>143</v>
      </c>
      <c r="C70" s="34"/>
      <c r="D70" s="35"/>
      <c r="E70" s="35"/>
      <c r="F70" s="35"/>
      <c r="G70" s="65" t="s">
        <v>41</v>
      </c>
      <c r="H70" s="22"/>
      <c r="I70" s="34" t="s">
        <v>144</v>
      </c>
      <c r="J70" s="23"/>
      <c r="K70" s="8"/>
      <c r="L70" s="55" t="s">
        <v>86</v>
      </c>
      <c r="M70" s="48"/>
    </row>
    <row r="71" spans="1:13" ht="12.75">
      <c r="A71" s="4"/>
      <c r="B71" s="57" t="s">
        <v>145</v>
      </c>
      <c r="C71" s="34"/>
      <c r="D71" s="35"/>
      <c r="E71" s="35"/>
      <c r="F71" s="35"/>
      <c r="G71" s="65" t="s">
        <v>41</v>
      </c>
      <c r="H71" s="22"/>
      <c r="I71" s="34"/>
      <c r="J71" s="23"/>
      <c r="K71" s="8"/>
      <c r="L71" s="55" t="s">
        <v>86</v>
      </c>
      <c r="M71" s="48"/>
    </row>
    <row r="72" spans="1:13" ht="12.75">
      <c r="A72" s="4"/>
      <c r="B72" s="57" t="s">
        <v>146</v>
      </c>
      <c r="C72" s="34"/>
      <c r="D72" s="35"/>
      <c r="E72" s="35"/>
      <c r="F72" s="35"/>
      <c r="G72" s="65" t="s">
        <v>41</v>
      </c>
      <c r="H72" s="22"/>
      <c r="I72" s="34"/>
      <c r="J72" s="23"/>
      <c r="K72" s="8"/>
      <c r="L72" s="55" t="s">
        <v>86</v>
      </c>
      <c r="M72" s="48"/>
    </row>
    <row r="73" spans="2:13" ht="14.25" customHeight="1">
      <c r="B73" s="10"/>
      <c r="C73" s="10"/>
      <c r="D73" s="10"/>
      <c r="E73" s="10"/>
      <c r="F73" s="10"/>
      <c r="G73" s="10"/>
      <c r="H73" s="10"/>
      <c r="I73" s="29"/>
      <c r="J73" s="29"/>
      <c r="L73" s="48"/>
      <c r="M73" s="48"/>
    </row>
    <row r="74" spans="1:13" ht="12.75">
      <c r="A74" s="4"/>
      <c r="B74" s="30" t="s">
        <v>83</v>
      </c>
      <c r="C74" s="19" t="s">
        <v>28</v>
      </c>
      <c r="D74" s="19"/>
      <c r="E74" s="19"/>
      <c r="F74" s="19"/>
      <c r="G74" s="31" t="s">
        <v>29</v>
      </c>
      <c r="H74" s="31"/>
      <c r="I74" s="32"/>
      <c r="J74" s="13"/>
      <c r="L74" s="48"/>
      <c r="M74" s="48"/>
    </row>
    <row r="75" spans="1:13" ht="12.75">
      <c r="A75" s="4"/>
      <c r="B75" s="33" t="s">
        <v>32</v>
      </c>
      <c r="C75" s="23"/>
      <c r="D75" s="23" t="s">
        <v>33</v>
      </c>
      <c r="E75" s="23" t="s">
        <v>34</v>
      </c>
      <c r="F75" s="23" t="s">
        <v>35</v>
      </c>
      <c r="G75" s="56" t="s">
        <v>36</v>
      </c>
      <c r="H75" s="33" t="s">
        <v>37</v>
      </c>
      <c r="I75" s="33" t="s">
        <v>38</v>
      </c>
      <c r="J75" s="23" t="s">
        <v>39</v>
      </c>
      <c r="K75" s="8"/>
      <c r="L75" s="48"/>
      <c r="M75" s="48"/>
    </row>
    <row r="76" spans="1:13" ht="12.75">
      <c r="A76" s="4"/>
      <c r="B76" s="57" t="s">
        <v>84</v>
      </c>
      <c r="C76" s="34"/>
      <c r="D76" s="35"/>
      <c r="E76" s="35"/>
      <c r="F76" s="35"/>
      <c r="G76" s="65" t="s">
        <v>41</v>
      </c>
      <c r="H76" s="22"/>
      <c r="I76" s="22"/>
      <c r="J76" s="23"/>
      <c r="K76" s="8"/>
      <c r="L76" s="55">
        <v>2</v>
      </c>
      <c r="M76" s="48"/>
    </row>
    <row r="77" spans="1:13" ht="12.75">
      <c r="A77" s="4"/>
      <c r="B77" s="57" t="s">
        <v>85</v>
      </c>
      <c r="C77" s="34"/>
      <c r="D77" s="35"/>
      <c r="E77" s="35"/>
      <c r="F77" s="35"/>
      <c r="G77" s="65" t="s">
        <v>41</v>
      </c>
      <c r="H77" s="22"/>
      <c r="I77" s="22"/>
      <c r="J77" s="23"/>
      <c r="K77" s="8"/>
      <c r="L77" s="55" t="s">
        <v>86</v>
      </c>
      <c r="M77" s="48"/>
    </row>
    <row r="78" spans="1:13" ht="12.75">
      <c r="A78" s="4"/>
      <c r="B78" s="57" t="s">
        <v>87</v>
      </c>
      <c r="C78" s="34"/>
      <c r="D78" s="35"/>
      <c r="E78" s="35"/>
      <c r="F78" s="35"/>
      <c r="G78" s="65" t="s">
        <v>41</v>
      </c>
      <c r="H78" s="22"/>
      <c r="I78" s="22"/>
      <c r="J78" s="23"/>
      <c r="K78" s="8"/>
      <c r="L78" s="55" t="s">
        <v>147</v>
      </c>
      <c r="M78" s="48"/>
    </row>
    <row r="79" spans="1:13" ht="12.75">
      <c r="A79" s="4"/>
      <c r="B79" s="57" t="s">
        <v>89</v>
      </c>
      <c r="C79" s="34"/>
      <c r="D79" s="35"/>
      <c r="E79" s="35"/>
      <c r="F79" s="35"/>
      <c r="G79" s="65" t="s">
        <v>41</v>
      </c>
      <c r="H79" s="22"/>
      <c r="I79" s="22"/>
      <c r="J79" s="23"/>
      <c r="K79" s="8"/>
      <c r="L79" s="55" t="s">
        <v>148</v>
      </c>
      <c r="M79" s="48"/>
    </row>
    <row r="80" spans="1:13" ht="12.75">
      <c r="A80" s="4"/>
      <c r="B80" s="57" t="s">
        <v>91</v>
      </c>
      <c r="C80" s="34"/>
      <c r="D80" s="35"/>
      <c r="E80" s="35"/>
      <c r="F80" s="35"/>
      <c r="G80" s="65" t="s">
        <v>41</v>
      </c>
      <c r="H80" s="22"/>
      <c r="I80" s="22"/>
      <c r="J80" s="23"/>
      <c r="K80" s="8"/>
      <c r="L80" s="55" t="s">
        <v>86</v>
      </c>
      <c r="M80" s="48"/>
    </row>
    <row r="81" spans="1:13" ht="12.75">
      <c r="A81" s="4"/>
      <c r="B81" s="57" t="s">
        <v>93</v>
      </c>
      <c r="C81" s="34"/>
      <c r="D81" s="35"/>
      <c r="E81" s="35"/>
      <c r="F81" s="35"/>
      <c r="G81" s="65" t="s">
        <v>41</v>
      </c>
      <c r="H81" s="22"/>
      <c r="I81" s="22" t="s">
        <v>94</v>
      </c>
      <c r="J81" s="23"/>
      <c r="K81" s="8"/>
      <c r="L81" s="55">
        <v>8500</v>
      </c>
      <c r="M81" s="48"/>
    </row>
    <row r="82" spans="1:13" ht="12.75">
      <c r="A82" s="4"/>
      <c r="B82" s="67" t="s">
        <v>95</v>
      </c>
      <c r="C82" s="68"/>
      <c r="D82" s="68"/>
      <c r="E82" s="68"/>
      <c r="F82" s="68"/>
      <c r="G82" s="69"/>
      <c r="H82" s="7" t="s">
        <v>43</v>
      </c>
      <c r="I82" s="7"/>
      <c r="J82" s="7"/>
      <c r="K82" s="8"/>
      <c r="L82" s="48"/>
      <c r="M82" s="48"/>
    </row>
    <row r="83" spans="1:13" ht="34.5">
      <c r="A83" s="4"/>
      <c r="B83" s="57" t="s">
        <v>96</v>
      </c>
      <c r="C83" s="34"/>
      <c r="D83" s="35"/>
      <c r="E83" s="35"/>
      <c r="F83" s="35"/>
      <c r="G83" s="65" t="s">
        <v>41</v>
      </c>
      <c r="H83" s="22"/>
      <c r="I83" s="18" t="s">
        <v>97</v>
      </c>
      <c r="J83" s="23"/>
      <c r="K83" s="8"/>
      <c r="L83" s="55" t="s">
        <v>149</v>
      </c>
      <c r="M83" s="48"/>
    </row>
    <row r="84" spans="1:13" ht="12.75">
      <c r="A84" s="4"/>
      <c r="B84" s="67" t="s">
        <v>99</v>
      </c>
      <c r="C84" s="68"/>
      <c r="D84" s="68"/>
      <c r="E84" s="68"/>
      <c r="F84" s="68"/>
      <c r="G84" s="69"/>
      <c r="H84" s="7" t="s">
        <v>43</v>
      </c>
      <c r="I84" s="7"/>
      <c r="J84" s="7"/>
      <c r="K84" s="8"/>
      <c r="L84" s="48"/>
      <c r="M84" s="48"/>
    </row>
    <row r="85" spans="1:13" ht="12.75">
      <c r="A85" s="4"/>
      <c r="B85" s="57" t="s">
        <v>100</v>
      </c>
      <c r="C85" s="34"/>
      <c r="D85" s="35"/>
      <c r="E85" s="35"/>
      <c r="F85" s="35"/>
      <c r="G85" s="65" t="s">
        <v>41</v>
      </c>
      <c r="H85" s="22"/>
      <c r="I85" s="22"/>
      <c r="J85" s="23"/>
      <c r="K85" s="8"/>
      <c r="L85" s="55" t="s">
        <v>150</v>
      </c>
      <c r="M85" s="48"/>
    </row>
    <row r="86" spans="1:13" ht="12.75">
      <c r="A86" s="4"/>
      <c r="B86" s="57" t="s">
        <v>102</v>
      </c>
      <c r="C86" s="34"/>
      <c r="D86" s="35"/>
      <c r="E86" s="35"/>
      <c r="F86" s="35"/>
      <c r="G86" s="65" t="s">
        <v>41</v>
      </c>
      <c r="H86" s="22"/>
      <c r="I86" s="22"/>
      <c r="J86" s="23"/>
      <c r="K86" s="8"/>
      <c r="L86" s="55" t="s">
        <v>103</v>
      </c>
      <c r="M86" s="48"/>
    </row>
    <row r="87" spans="1:13" ht="12.75">
      <c r="A87" s="4"/>
      <c r="B87" s="57" t="s">
        <v>151</v>
      </c>
      <c r="C87" s="34"/>
      <c r="D87" s="35"/>
      <c r="E87" s="35"/>
      <c r="F87" s="35"/>
      <c r="G87" s="65" t="s">
        <v>41</v>
      </c>
      <c r="H87" s="22"/>
      <c r="I87" s="22"/>
      <c r="J87" s="23"/>
      <c r="K87" s="8"/>
      <c r="L87" s="55" t="s">
        <v>86</v>
      </c>
      <c r="M87" s="48"/>
    </row>
    <row r="88" spans="1:13" ht="12.75">
      <c r="A88" s="4"/>
      <c r="B88" s="57" t="s">
        <v>106</v>
      </c>
      <c r="C88" s="34"/>
      <c r="D88" s="35"/>
      <c r="E88" s="35"/>
      <c r="F88" s="35"/>
      <c r="G88" s="65" t="s">
        <v>41</v>
      </c>
      <c r="H88" s="22"/>
      <c r="I88" s="22"/>
      <c r="J88" s="23"/>
      <c r="K88" s="8"/>
      <c r="L88" s="66" t="s">
        <v>152</v>
      </c>
      <c r="M88" s="48"/>
    </row>
    <row r="89" spans="1:13" ht="12.75">
      <c r="A89" s="4"/>
      <c r="B89" s="57" t="s">
        <v>108</v>
      </c>
      <c r="C89" s="34"/>
      <c r="D89" s="35"/>
      <c r="E89" s="35"/>
      <c r="F89" s="35"/>
      <c r="G89" s="65" t="s">
        <v>41</v>
      </c>
      <c r="H89" s="22"/>
      <c r="I89" s="22"/>
      <c r="J89" s="23"/>
      <c r="K89" s="8"/>
      <c r="L89" s="55" t="s">
        <v>86</v>
      </c>
      <c r="M89" s="48"/>
    </row>
    <row r="90" spans="1:13" ht="12.75">
      <c r="A90" s="4"/>
      <c r="B90" s="67" t="s">
        <v>109</v>
      </c>
      <c r="C90" s="68"/>
      <c r="D90" s="68"/>
      <c r="E90" s="68"/>
      <c r="F90" s="68"/>
      <c r="G90" s="69"/>
      <c r="H90" s="7" t="s">
        <v>43</v>
      </c>
      <c r="I90" s="7"/>
      <c r="J90" s="7"/>
      <c r="K90" s="8"/>
      <c r="L90" s="55"/>
      <c r="M90" s="48"/>
    </row>
    <row r="91" spans="2:13" ht="14.25" customHeight="1">
      <c r="B91" s="10"/>
      <c r="C91" s="10"/>
      <c r="D91" s="10"/>
      <c r="E91" s="10"/>
      <c r="F91" s="10"/>
      <c r="G91" s="10"/>
      <c r="H91" s="10"/>
      <c r="I91" s="29"/>
      <c r="J91" s="29"/>
      <c r="L91" s="48"/>
      <c r="M91" s="48"/>
    </row>
    <row r="92" spans="1:13" ht="12.75">
      <c r="A92" s="4"/>
      <c r="B92" s="30" t="s">
        <v>153</v>
      </c>
      <c r="C92" s="19" t="s">
        <v>28</v>
      </c>
      <c r="D92" s="19"/>
      <c r="E92" s="19"/>
      <c r="F92" s="19"/>
      <c r="G92" s="31" t="s">
        <v>29</v>
      </c>
      <c r="H92" s="31"/>
      <c r="I92" s="32"/>
      <c r="J92" s="13"/>
      <c r="L92" s="48"/>
      <c r="M92" s="48"/>
    </row>
    <row r="93" spans="1:13" ht="12.75">
      <c r="A93" s="4"/>
      <c r="B93" s="33" t="s">
        <v>32</v>
      </c>
      <c r="C93" s="23"/>
      <c r="D93" s="23" t="s">
        <v>33</v>
      </c>
      <c r="E93" s="23" t="s">
        <v>34</v>
      </c>
      <c r="F93" s="23" t="s">
        <v>35</v>
      </c>
      <c r="G93" s="56" t="s">
        <v>36</v>
      </c>
      <c r="H93" s="33" t="s">
        <v>37</v>
      </c>
      <c r="I93" s="33" t="s">
        <v>38</v>
      </c>
      <c r="J93" s="23" t="s">
        <v>39</v>
      </c>
      <c r="K93" s="8"/>
      <c r="L93" s="48"/>
      <c r="M93" s="48"/>
    </row>
    <row r="94" spans="1:13" ht="12.75">
      <c r="A94" s="4"/>
      <c r="B94" s="57" t="s">
        <v>154</v>
      </c>
      <c r="C94" s="34"/>
      <c r="D94" s="35"/>
      <c r="E94" s="35"/>
      <c r="F94" s="35"/>
      <c r="G94" s="65" t="s">
        <v>41</v>
      </c>
      <c r="H94" s="22"/>
      <c r="I94" s="34"/>
      <c r="J94" s="23"/>
      <c r="K94" s="8"/>
      <c r="L94" s="55" t="s">
        <v>155</v>
      </c>
      <c r="M94" s="48" t="s">
        <v>156</v>
      </c>
    </row>
    <row r="95" spans="1:13" ht="12.75">
      <c r="A95" s="4"/>
      <c r="B95" s="57" t="s">
        <v>157</v>
      </c>
      <c r="C95" s="34"/>
      <c r="D95" s="35"/>
      <c r="E95" s="35"/>
      <c r="F95" s="35"/>
      <c r="G95" s="65" t="s">
        <v>41</v>
      </c>
      <c r="H95" s="22"/>
      <c r="I95" s="34"/>
      <c r="J95" s="23"/>
      <c r="K95" s="8"/>
      <c r="L95" s="48"/>
      <c r="M95" s="48"/>
    </row>
    <row r="96" spans="2:13" ht="14.25" customHeight="1">
      <c r="B96" s="10"/>
      <c r="C96" s="10"/>
      <c r="D96" s="10"/>
      <c r="E96" s="10"/>
      <c r="F96" s="10"/>
      <c r="G96" s="10"/>
      <c r="H96" s="10"/>
      <c r="I96" s="29"/>
      <c r="J96" s="29"/>
      <c r="L96" s="48"/>
      <c r="M96" s="48"/>
    </row>
    <row r="97" spans="1:13" ht="12.75">
      <c r="A97" s="4"/>
      <c r="B97" s="30" t="s">
        <v>158</v>
      </c>
      <c r="C97" s="19" t="s">
        <v>28</v>
      </c>
      <c r="D97" s="19"/>
      <c r="E97" s="19"/>
      <c r="F97" s="19"/>
      <c r="G97" s="31" t="s">
        <v>29</v>
      </c>
      <c r="H97" s="31"/>
      <c r="I97" s="32"/>
      <c r="J97" s="13"/>
      <c r="L97" s="48"/>
      <c r="M97" s="48"/>
    </row>
    <row r="98" spans="1:13" ht="12.75">
      <c r="A98" s="4"/>
      <c r="B98" s="33" t="s">
        <v>32</v>
      </c>
      <c r="C98" s="23"/>
      <c r="D98" s="23" t="s">
        <v>33</v>
      </c>
      <c r="E98" s="23" t="s">
        <v>34</v>
      </c>
      <c r="F98" s="23" t="s">
        <v>35</v>
      </c>
      <c r="G98" s="56" t="s">
        <v>36</v>
      </c>
      <c r="H98" s="33" t="s">
        <v>37</v>
      </c>
      <c r="I98" s="33" t="s">
        <v>38</v>
      </c>
      <c r="J98" s="33" t="s">
        <v>39</v>
      </c>
      <c r="K98" s="8"/>
      <c r="L98" s="48"/>
      <c r="M98" s="48"/>
    </row>
    <row r="99" spans="1:13" ht="34.5">
      <c r="A99" s="4"/>
      <c r="B99" s="57" t="s">
        <v>159</v>
      </c>
      <c r="C99" s="34"/>
      <c r="D99" s="35"/>
      <c r="E99" s="35"/>
      <c r="F99" s="35"/>
      <c r="G99" s="65" t="s">
        <v>41</v>
      </c>
      <c r="H99" s="22"/>
      <c r="I99" s="34" t="s">
        <v>160</v>
      </c>
      <c r="J99" s="23"/>
      <c r="K99" s="8"/>
      <c r="L99" s="55" t="s">
        <v>161</v>
      </c>
      <c r="M99" s="48"/>
    </row>
    <row r="100" spans="1:13" ht="34.5">
      <c r="A100" s="4"/>
      <c r="B100" s="57" t="s">
        <v>162</v>
      </c>
      <c r="C100" s="34"/>
      <c r="D100" s="35"/>
      <c r="E100" s="35"/>
      <c r="F100" s="35"/>
      <c r="G100" s="65" t="s">
        <v>41</v>
      </c>
      <c r="H100" s="22"/>
      <c r="I100" s="34" t="s">
        <v>163</v>
      </c>
      <c r="J100" s="23"/>
      <c r="K100" s="8"/>
      <c r="L100" s="55" t="s">
        <v>164</v>
      </c>
      <c r="M100" s="48"/>
    </row>
  </sheetData>
  <sheetProtection selectLockedCells="1" selectUnlockedCells="1"/>
  <mergeCells count="19">
    <mergeCell ref="B9:F9"/>
    <mergeCell ref="C11:F11"/>
    <mergeCell ref="G11:H11"/>
    <mergeCell ref="C17:F17"/>
    <mergeCell ref="G17:H17"/>
    <mergeCell ref="C24:F24"/>
    <mergeCell ref="G24:H24"/>
    <mergeCell ref="C45:F45"/>
    <mergeCell ref="G45:H45"/>
    <mergeCell ref="C55:F55"/>
    <mergeCell ref="G55:H55"/>
    <mergeCell ref="C62:F62"/>
    <mergeCell ref="G62:H62"/>
    <mergeCell ref="C74:F74"/>
    <mergeCell ref="G74:H74"/>
    <mergeCell ref="C92:F92"/>
    <mergeCell ref="G92:H92"/>
    <mergeCell ref="C97:F97"/>
    <mergeCell ref="G97:H97"/>
  </mergeCells>
  <printOptions/>
  <pageMargins left="0.75" right="0.75" top="0.5" bottom="0.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M468"/>
  <sheetViews>
    <sheetView zoomScaleSheetLayoutView="100" workbookViewId="0" topLeftCell="A1">
      <selection activeCell="A1" sqref="A1"/>
    </sheetView>
  </sheetViews>
  <sheetFormatPr defaultColWidth="37.7109375" defaultRowHeight="12.75"/>
  <cols>
    <col min="1" max="1" width="32.28125" style="0" customWidth="1"/>
    <col min="2" max="2" width="42.140625" style="0" customWidth="1"/>
    <col min="3" max="6" width="0.2890625" style="0" customWidth="1"/>
    <col min="7" max="7" width="9.7109375" style="0" customWidth="1"/>
    <col min="8" max="8" width="13.57421875" style="0" customWidth="1"/>
    <col min="9" max="10" width="36.8515625" style="0" customWidth="1"/>
    <col min="11" max="11" width="11.7109375" style="0" customWidth="1"/>
    <col min="12" max="12" width="27.28125" style="47" customWidth="1"/>
    <col min="13" max="13" width="49.57421875" style="47" customWidth="1"/>
  </cols>
  <sheetData>
    <row r="1" ht="14.25" customHeight="1">
      <c r="L1" s="48"/>
    </row>
    <row r="2" spans="2:12" ht="12.75">
      <c r="B2" s="1" t="s">
        <v>165</v>
      </c>
      <c r="L2" s="48"/>
    </row>
    <row r="3" ht="15" customHeight="1">
      <c r="L3" s="48"/>
    </row>
    <row r="4" spans="2:12" ht="15" customHeight="1">
      <c r="B4" s="49">
        <f>HYPERLINK("TelephonyRecord!Tel_Telephony_Subscriber","LINK TO Telephony_Subscriber")</f>
        <v>0</v>
      </c>
      <c r="L4" s="48"/>
    </row>
    <row r="5" spans="2:12" ht="15" customHeight="1">
      <c r="B5" s="49">
        <f>HYPERLINK("TelephonyRecord!Tel_Telephony_Billing_Details","LINK TO Telephony_Billing_Details")</f>
        <v>0</v>
      </c>
      <c r="L5" s="48"/>
    </row>
    <row r="6" spans="2:12" ht="15" customHeight="1">
      <c r="B6" s="49">
        <f>HYPERLINK("TelephonyRecord!Tel_Telephony_Service_Usage","LINK TO Telephony_Service_Usage")</f>
        <v>0</v>
      </c>
      <c r="L6" s="48"/>
    </row>
    <row r="7" spans="2:12" ht="15" customHeight="1">
      <c r="B7" s="49">
        <f>HYPERLINK("TelephonyRecord!Tel_Telephony_Device","LINK TO Telephony_Device")</f>
        <v>0</v>
      </c>
      <c r="L7" s="48"/>
    </row>
    <row r="8" spans="2:12" ht="15" customHeight="1">
      <c r="B8" s="49">
        <f>HYPERLINK("TelephonyRecord!Tel_Telephony_Network_Element","LINK TO Telephony_Network_Element")</f>
        <v>0</v>
      </c>
      <c r="L8" s="48"/>
    </row>
    <row r="9" ht="15" customHeight="1">
      <c r="L9" s="48"/>
    </row>
    <row r="10" spans="1:12" ht="12.75">
      <c r="A10" s="50" t="s">
        <v>166</v>
      </c>
      <c r="B10" s="50"/>
      <c r="C10" s="51"/>
      <c r="D10" s="51"/>
      <c r="E10" s="51"/>
      <c r="F10" s="51"/>
      <c r="G10" s="51"/>
      <c r="H10" s="51"/>
      <c r="I10" s="51"/>
      <c r="J10" s="51"/>
      <c r="L10" s="48"/>
    </row>
    <row r="11" spans="2:12" ht="12.75">
      <c r="B11" s="53"/>
      <c r="C11" s="3"/>
      <c r="D11" s="3"/>
      <c r="E11" s="3"/>
      <c r="F11" s="3"/>
      <c r="L11" s="48"/>
    </row>
    <row r="12" spans="1:12" ht="39" customHeight="1">
      <c r="A12" s="4"/>
      <c r="B12" s="24" t="s">
        <v>62</v>
      </c>
      <c r="C12" s="24"/>
      <c r="D12" s="24"/>
      <c r="E12" s="24"/>
      <c r="F12" s="24"/>
      <c r="G12" s="8"/>
      <c r="L12" s="48"/>
    </row>
    <row r="13" spans="2:12" ht="12.75">
      <c r="B13" s="54"/>
      <c r="C13" s="10"/>
      <c r="D13" s="10"/>
      <c r="E13" s="10"/>
      <c r="F13" s="10"/>
      <c r="G13" s="3"/>
      <c r="H13" s="3"/>
      <c r="L13" s="48"/>
    </row>
    <row r="14" spans="1:12" ht="12.75">
      <c r="A14" s="4"/>
      <c r="B14" s="30" t="s">
        <v>167</v>
      </c>
      <c r="C14" s="19" t="s">
        <v>28</v>
      </c>
      <c r="D14" s="19"/>
      <c r="E14" s="19"/>
      <c r="F14" s="19"/>
      <c r="G14" s="31" t="s">
        <v>29</v>
      </c>
      <c r="H14" s="31"/>
      <c r="I14" s="32"/>
      <c r="J14" s="13"/>
      <c r="L14" s="48"/>
    </row>
    <row r="15" spans="1:13" ht="12.75">
      <c r="A15" s="4"/>
      <c r="B15" s="33" t="s">
        <v>32</v>
      </c>
      <c r="C15" s="23"/>
      <c r="D15" s="23" t="s">
        <v>33</v>
      </c>
      <c r="E15" s="23" t="s">
        <v>34</v>
      </c>
      <c r="F15" s="23" t="s">
        <v>35</v>
      </c>
      <c r="G15" s="33" t="s">
        <v>36</v>
      </c>
      <c r="H15" s="33" t="s">
        <v>37</v>
      </c>
      <c r="I15" s="33" t="s">
        <v>38</v>
      </c>
      <c r="J15" s="23" t="s">
        <v>39</v>
      </c>
      <c r="K15" s="8"/>
      <c r="L15" s="55" t="s">
        <v>63</v>
      </c>
      <c r="M15" s="76" t="s">
        <v>64</v>
      </c>
    </row>
    <row r="16" spans="1:12" ht="152.25" customHeight="1">
      <c r="A16" s="4"/>
      <c r="B16" s="57" t="s">
        <v>168</v>
      </c>
      <c r="C16" s="25"/>
      <c r="D16" s="25"/>
      <c r="E16" s="25"/>
      <c r="F16" s="25"/>
      <c r="G16" s="24" t="s">
        <v>41</v>
      </c>
      <c r="H16" s="24"/>
      <c r="I16" s="18" t="s">
        <v>169</v>
      </c>
      <c r="J16" s="28">
        <f>HYPERLINK("TelephonyRecord!Tel_TelephonySubscriber_subscriberID","subscriberID")</f>
        <v>0</v>
      </c>
      <c r="K16" s="8"/>
      <c r="L16" s="55" t="s">
        <v>170</v>
      </c>
    </row>
    <row r="17" spans="1:12" ht="13.5">
      <c r="A17" s="4"/>
      <c r="B17" s="57" t="s">
        <v>171</v>
      </c>
      <c r="C17" s="25"/>
      <c r="D17" s="25"/>
      <c r="E17" s="25"/>
      <c r="F17" s="25"/>
      <c r="G17" s="24" t="s">
        <v>41</v>
      </c>
      <c r="H17" s="24"/>
      <c r="I17" s="27">
        <f>HYPERLINK("GenericSubInfo!B2","GenericSubscriberInfo")</f>
        <v>0</v>
      </c>
      <c r="J17" s="25"/>
      <c r="K17" s="8"/>
      <c r="L17" s="55" t="s">
        <v>172</v>
      </c>
    </row>
    <row r="18" spans="1:12" ht="13.5">
      <c r="A18" s="4"/>
      <c r="B18" s="67" t="s">
        <v>173</v>
      </c>
      <c r="C18" s="26"/>
      <c r="D18" s="26"/>
      <c r="E18" s="26"/>
      <c r="F18" s="26"/>
      <c r="G18" s="26"/>
      <c r="H18" s="26" t="s">
        <v>43</v>
      </c>
      <c r="I18" s="26" t="s">
        <v>174</v>
      </c>
      <c r="J18" s="26"/>
      <c r="K18" s="8"/>
      <c r="L18" s="48"/>
    </row>
    <row r="19" spans="1:12" ht="16.5" customHeight="1">
      <c r="A19" s="4"/>
      <c r="B19" s="57" t="s">
        <v>175</v>
      </c>
      <c r="C19" s="24"/>
      <c r="D19" s="25"/>
      <c r="E19" s="25"/>
      <c r="F19" s="25"/>
      <c r="G19" s="24" t="s">
        <v>41</v>
      </c>
      <c r="H19" s="24"/>
      <c r="I19" s="27">
        <f>HYPERLINK("TelephonyRecord!SubscribedTelephonyServices","SubscribedTelephonyServices")</f>
        <v>0</v>
      </c>
      <c r="J19" s="25"/>
      <c r="K19" s="8"/>
      <c r="L19" s="55" t="s">
        <v>176</v>
      </c>
    </row>
    <row r="20" spans="1:12" ht="18" customHeight="1">
      <c r="A20" s="4"/>
      <c r="B20" s="67" t="s">
        <v>177</v>
      </c>
      <c r="C20" s="26"/>
      <c r="D20" s="26"/>
      <c r="E20" s="26"/>
      <c r="F20" s="26"/>
      <c r="G20" s="26"/>
      <c r="H20" s="26" t="s">
        <v>43</v>
      </c>
      <c r="I20" s="26"/>
      <c r="J20" s="26"/>
      <c r="K20" s="8"/>
      <c r="L20" s="48"/>
    </row>
    <row r="21" spans="2:12" ht="14.25" customHeight="1">
      <c r="B21" s="10"/>
      <c r="C21" s="10"/>
      <c r="D21" s="10"/>
      <c r="E21" s="10"/>
      <c r="F21" s="10"/>
      <c r="G21" s="10"/>
      <c r="H21" s="10"/>
      <c r="I21" s="10"/>
      <c r="J21" s="10"/>
      <c r="L21" s="48"/>
    </row>
    <row r="22" spans="1:13" ht="79.5" customHeight="1">
      <c r="A22" s="4"/>
      <c r="B22" s="36" t="s">
        <v>178</v>
      </c>
      <c r="C22" s="36"/>
      <c r="D22" s="36"/>
      <c r="E22" s="36"/>
      <c r="F22" s="36"/>
      <c r="G22" s="37" t="s">
        <v>52</v>
      </c>
      <c r="H22" s="37"/>
      <c r="I22" s="37"/>
      <c r="J22" s="37"/>
      <c r="K22" s="8"/>
      <c r="L22" s="48"/>
      <c r="M22" s="76" t="s">
        <v>179</v>
      </c>
    </row>
    <row r="23" spans="1:12" ht="26.25" customHeight="1">
      <c r="A23" s="4"/>
      <c r="B23" s="38" t="s">
        <v>180</v>
      </c>
      <c r="C23" s="38"/>
      <c r="D23" s="38"/>
      <c r="E23" s="38"/>
      <c r="F23" s="38"/>
      <c r="G23" s="25"/>
      <c r="H23" s="25"/>
      <c r="I23" s="25"/>
      <c r="J23" s="25"/>
      <c r="K23" s="8"/>
      <c r="L23" s="48" t="s">
        <v>181</v>
      </c>
    </row>
    <row r="24" spans="2:12" ht="14.25" customHeight="1">
      <c r="B24" s="10"/>
      <c r="C24" s="10"/>
      <c r="D24" s="10"/>
      <c r="E24" s="10"/>
      <c r="F24" s="10"/>
      <c r="G24" s="10"/>
      <c r="H24" s="10"/>
      <c r="I24" s="29"/>
      <c r="J24" s="29"/>
      <c r="L24" s="48"/>
    </row>
    <row r="25" spans="1:12" ht="12.75">
      <c r="A25" s="4"/>
      <c r="B25" s="30" t="s">
        <v>182</v>
      </c>
      <c r="C25" s="19" t="s">
        <v>28</v>
      </c>
      <c r="D25" s="19"/>
      <c r="E25" s="19"/>
      <c r="F25" s="19"/>
      <c r="G25" s="31" t="s">
        <v>29</v>
      </c>
      <c r="H25" s="31"/>
      <c r="I25" s="32"/>
      <c r="J25" s="13"/>
      <c r="L25" s="48"/>
    </row>
    <row r="26" spans="1:12" ht="12.75">
      <c r="A26" s="4"/>
      <c r="B26" s="33" t="s">
        <v>32</v>
      </c>
      <c r="C26" s="23"/>
      <c r="D26" s="23" t="s">
        <v>33</v>
      </c>
      <c r="E26" s="23" t="s">
        <v>34</v>
      </c>
      <c r="F26" s="23" t="s">
        <v>35</v>
      </c>
      <c r="G26" s="33" t="s">
        <v>36</v>
      </c>
      <c r="H26" s="33" t="s">
        <v>37</v>
      </c>
      <c r="I26" s="33" t="s">
        <v>38</v>
      </c>
      <c r="J26" s="23" t="s">
        <v>39</v>
      </c>
      <c r="K26" s="8"/>
      <c r="L26" s="48"/>
    </row>
    <row r="27" spans="1:12" ht="51.75">
      <c r="A27" s="4"/>
      <c r="B27" s="57" t="s">
        <v>183</v>
      </c>
      <c r="C27" s="25"/>
      <c r="D27" s="25"/>
      <c r="E27" s="25"/>
      <c r="F27" s="25"/>
      <c r="G27" s="24" t="s">
        <v>41</v>
      </c>
      <c r="H27" s="24"/>
      <c r="I27" s="24" t="s">
        <v>184</v>
      </c>
      <c r="J27" s="28">
        <f>HYPERLINK("TelephonyRecord!Tel_SubscribedTelephonyServices_serviceID","serviceID")</f>
        <v>0</v>
      </c>
      <c r="K27" s="8"/>
      <c r="L27" s="55" t="s">
        <v>185</v>
      </c>
    </row>
    <row r="28" spans="1:12" ht="27" customHeight="1">
      <c r="A28" s="4"/>
      <c r="B28" s="57" t="s">
        <v>186</v>
      </c>
      <c r="C28" s="25"/>
      <c r="D28" s="25"/>
      <c r="E28" s="25"/>
      <c r="F28" s="25"/>
      <c r="G28" s="24" t="s">
        <v>41</v>
      </c>
      <c r="H28" s="24"/>
      <c r="I28" s="18" t="s">
        <v>187</v>
      </c>
      <c r="J28" s="25"/>
      <c r="K28" s="8"/>
      <c r="L28" s="55">
        <v>22801</v>
      </c>
    </row>
    <row r="29" spans="1:12" ht="13.5">
      <c r="A29" s="4"/>
      <c r="B29" s="57" t="s">
        <v>188</v>
      </c>
      <c r="C29" s="25"/>
      <c r="D29" s="25"/>
      <c r="E29" s="25"/>
      <c r="F29" s="25"/>
      <c r="G29" s="24" t="s">
        <v>41</v>
      </c>
      <c r="H29" s="24"/>
      <c r="I29" s="27">
        <f>HYPERLINK("TelephonyRecord!TimeSpan","TimeSpan")</f>
        <v>0</v>
      </c>
      <c r="J29" s="25"/>
      <c r="K29" s="8"/>
      <c r="L29" s="55" t="s">
        <v>189</v>
      </c>
    </row>
    <row r="30" spans="1:12" ht="51.75">
      <c r="A30" s="4"/>
      <c r="B30" s="57" t="s">
        <v>190</v>
      </c>
      <c r="C30" s="25"/>
      <c r="D30" s="25"/>
      <c r="E30" s="25"/>
      <c r="F30" s="25"/>
      <c r="G30" s="24" t="s">
        <v>41</v>
      </c>
      <c r="H30" s="24"/>
      <c r="I30" s="24" t="s">
        <v>191</v>
      </c>
      <c r="J30" s="25"/>
      <c r="K30" s="8"/>
      <c r="L30" s="55">
        <v>41798458796</v>
      </c>
    </row>
    <row r="31" spans="1:13" ht="23.25">
      <c r="A31" s="4"/>
      <c r="B31" s="57" t="s">
        <v>192</v>
      </c>
      <c r="C31" s="25"/>
      <c r="D31" s="25"/>
      <c r="E31" s="25"/>
      <c r="F31" s="25"/>
      <c r="G31" s="24" t="s">
        <v>41</v>
      </c>
      <c r="H31" s="24"/>
      <c r="I31" s="24" t="s">
        <v>123</v>
      </c>
      <c r="J31" s="25"/>
      <c r="K31" s="8"/>
      <c r="L31" s="66" t="s">
        <v>193</v>
      </c>
      <c r="M31" s="76" t="s">
        <v>194</v>
      </c>
    </row>
    <row r="32" spans="1:12" ht="13.5">
      <c r="A32" s="4"/>
      <c r="B32" s="57" t="s">
        <v>195</v>
      </c>
      <c r="C32" s="25"/>
      <c r="D32" s="25"/>
      <c r="E32" s="25"/>
      <c r="F32" s="25"/>
      <c r="G32" s="24" t="s">
        <v>41</v>
      </c>
      <c r="H32" s="24"/>
      <c r="I32" s="27">
        <f>HYPERLINK("TelephonyRecord!TelephonyServiceType","TelephonyServiceType")</f>
        <v>0</v>
      </c>
      <c r="J32" s="25"/>
      <c r="K32" s="8"/>
      <c r="L32" s="55" t="s">
        <v>196</v>
      </c>
    </row>
    <row r="33" spans="1:13" ht="23.25">
      <c r="A33" s="4"/>
      <c r="B33" s="57" t="s">
        <v>197</v>
      </c>
      <c r="C33" s="25"/>
      <c r="D33" s="25"/>
      <c r="E33" s="25"/>
      <c r="F33" s="25"/>
      <c r="G33" s="24" t="s">
        <v>41</v>
      </c>
      <c r="H33" s="24"/>
      <c r="I33" s="27">
        <f>HYPERLINK("TelephonyRecord!AddressInformation","AddressInformation")</f>
        <v>0</v>
      </c>
      <c r="J33" s="25"/>
      <c r="K33" s="8"/>
      <c r="L33" s="55" t="s">
        <v>125</v>
      </c>
      <c r="M33" s="77" t="s">
        <v>198</v>
      </c>
    </row>
    <row r="34" spans="1:12" ht="40.5" customHeight="1">
      <c r="A34" s="4"/>
      <c r="B34" s="57" t="s">
        <v>199</v>
      </c>
      <c r="C34" s="25"/>
      <c r="D34" s="25"/>
      <c r="E34" s="25"/>
      <c r="F34" s="25"/>
      <c r="G34" s="24" t="s">
        <v>41</v>
      </c>
      <c r="H34" s="24"/>
      <c r="I34" s="18" t="s">
        <v>200</v>
      </c>
      <c r="J34" s="25"/>
      <c r="K34" s="8"/>
      <c r="L34" s="71" t="s">
        <v>201</v>
      </c>
    </row>
    <row r="35" spans="1:13" ht="13.5">
      <c r="A35" s="4"/>
      <c r="B35" s="57" t="s">
        <v>202</v>
      </c>
      <c r="C35" s="25"/>
      <c r="D35" s="25"/>
      <c r="E35" s="25"/>
      <c r="F35" s="25"/>
      <c r="G35" s="24" t="s">
        <v>41</v>
      </c>
      <c r="H35" s="24"/>
      <c r="I35" s="24" t="s">
        <v>203</v>
      </c>
      <c r="J35" s="25"/>
      <c r="K35" s="8"/>
      <c r="L35" s="55" t="s">
        <v>204</v>
      </c>
      <c r="M35" s="47">
        <f>HYPERLINK("http://de.wikipedia.org/wiki/International_Mobile_Subscriber_Identity","http://de.wikipedia.org/wiki/International_Mobile_Subscriber_Identity")</f>
        <v>0</v>
      </c>
    </row>
    <row r="36" spans="1:13" ht="13.5">
      <c r="A36" s="4"/>
      <c r="B36" s="57" t="s">
        <v>205</v>
      </c>
      <c r="C36" s="25"/>
      <c r="D36" s="25"/>
      <c r="E36" s="25"/>
      <c r="F36" s="25"/>
      <c r="G36" s="24" t="s">
        <v>41</v>
      </c>
      <c r="H36" s="24"/>
      <c r="I36" s="24"/>
      <c r="J36" s="25"/>
      <c r="K36" s="8"/>
      <c r="L36" s="55" t="s">
        <v>86</v>
      </c>
      <c r="M36" s="47">
        <f>HYPERLINK("http://en.wikipedia.org/wiki/Carrier_preselect","http://en.wikipedia.org/wiki/Carrier_preselect")</f>
        <v>0</v>
      </c>
    </row>
    <row r="37" spans="1:13" ht="26.25">
      <c r="A37" s="4"/>
      <c r="B37" s="57" t="s">
        <v>206</v>
      </c>
      <c r="C37" s="25"/>
      <c r="D37" s="25"/>
      <c r="E37" s="25"/>
      <c r="F37" s="25"/>
      <c r="G37" s="24" t="s">
        <v>41</v>
      </c>
      <c r="H37" s="24"/>
      <c r="I37" s="24" t="s">
        <v>207</v>
      </c>
      <c r="J37" s="25"/>
      <c r="K37" s="8"/>
      <c r="L37" s="55" t="s">
        <v>208</v>
      </c>
      <c r="M37" s="76" t="s">
        <v>209</v>
      </c>
    </row>
    <row r="38" spans="1:13" ht="71.25" customHeight="1">
      <c r="A38" s="4"/>
      <c r="B38" s="57" t="s">
        <v>210</v>
      </c>
      <c r="C38" s="25"/>
      <c r="D38" s="25"/>
      <c r="E38" s="25"/>
      <c r="F38" s="25"/>
      <c r="G38" s="24" t="s">
        <v>211</v>
      </c>
      <c r="H38" s="24"/>
      <c r="I38" s="24" t="s">
        <v>212</v>
      </c>
      <c r="J38" s="28">
        <f>HYPERLINK("TelephonyDeviceID","TelephonyDeviceID")</f>
        <v>0</v>
      </c>
      <c r="K38" s="8"/>
      <c r="L38" s="55" t="s">
        <v>213</v>
      </c>
      <c r="M38" s="76" t="s">
        <v>214</v>
      </c>
    </row>
    <row r="39" spans="1:13" ht="23.25">
      <c r="A39" s="4"/>
      <c r="B39" s="57" t="s">
        <v>215</v>
      </c>
      <c r="C39" s="25"/>
      <c r="D39" s="25"/>
      <c r="E39" s="25"/>
      <c r="F39" s="25"/>
      <c r="G39" s="24" t="s">
        <v>41</v>
      </c>
      <c r="H39" s="24"/>
      <c r="I39" s="24" t="s">
        <v>123</v>
      </c>
      <c r="J39" s="25"/>
      <c r="K39" s="8"/>
      <c r="L39" s="55">
        <v>66687785</v>
      </c>
      <c r="M39" s="76" t="s">
        <v>216</v>
      </c>
    </row>
    <row r="40" spans="1:12" ht="13.5">
      <c r="A40" s="4"/>
      <c r="B40" s="57" t="s">
        <v>217</v>
      </c>
      <c r="C40" s="25"/>
      <c r="D40" s="25"/>
      <c r="E40" s="25"/>
      <c r="F40" s="25"/>
      <c r="G40" s="24" t="s">
        <v>41</v>
      </c>
      <c r="H40" s="24"/>
      <c r="I40" s="24" t="s">
        <v>123</v>
      </c>
      <c r="J40" s="25"/>
      <c r="K40" s="8"/>
      <c r="L40" s="55">
        <v>65587450</v>
      </c>
    </row>
    <row r="41" spans="1:12" ht="13.5">
      <c r="A41" s="4"/>
      <c r="B41" s="57" t="s">
        <v>218</v>
      </c>
      <c r="C41" s="25"/>
      <c r="D41" s="25"/>
      <c r="E41" s="25"/>
      <c r="F41" s="25"/>
      <c r="G41" s="24" t="s">
        <v>41</v>
      </c>
      <c r="H41" s="24"/>
      <c r="I41" s="24" t="s">
        <v>219</v>
      </c>
      <c r="J41" s="25"/>
      <c r="K41" s="8"/>
      <c r="L41" s="55">
        <v>355211050704978</v>
      </c>
    </row>
    <row r="42" spans="1:12" ht="24" customHeight="1">
      <c r="A42" s="4"/>
      <c r="B42" s="67" t="s">
        <v>220</v>
      </c>
      <c r="C42" s="26"/>
      <c r="D42" s="26"/>
      <c r="E42" s="26"/>
      <c r="F42" s="26"/>
      <c r="G42" s="26"/>
      <c r="H42" s="26" t="s">
        <v>43</v>
      </c>
      <c r="I42" s="26"/>
      <c r="J42" s="26"/>
      <c r="K42" s="8"/>
      <c r="L42" s="48"/>
    </row>
    <row r="43" spans="1:12" ht="13.5">
      <c r="A43" s="4"/>
      <c r="B43" s="57" t="s">
        <v>221</v>
      </c>
      <c r="C43" s="24"/>
      <c r="D43" s="25"/>
      <c r="E43" s="25"/>
      <c r="F43" s="25"/>
      <c r="G43" s="24" t="s">
        <v>41</v>
      </c>
      <c r="H43" s="24"/>
      <c r="I43" s="27">
        <f>HYPERLINK("TelephonyRecord!PyamentDetails","PaymentDetails")</f>
        <v>0</v>
      </c>
      <c r="J43" s="25"/>
      <c r="K43" s="8"/>
      <c r="L43" s="55" t="s">
        <v>222</v>
      </c>
    </row>
    <row r="44" spans="2:12" ht="14.25" customHeight="1">
      <c r="B44" s="10"/>
      <c r="C44" s="10"/>
      <c r="D44" s="10"/>
      <c r="E44" s="10"/>
      <c r="F44" s="10"/>
      <c r="G44" s="10"/>
      <c r="H44" s="10"/>
      <c r="I44" s="10"/>
      <c r="J44" s="10"/>
      <c r="L44" s="48"/>
    </row>
    <row r="45" spans="1:12" ht="79.5" customHeight="1">
      <c r="A45" s="4"/>
      <c r="B45" s="36" t="s">
        <v>223</v>
      </c>
      <c r="C45" s="36"/>
      <c r="D45" s="36"/>
      <c r="E45" s="36"/>
      <c r="F45" s="36"/>
      <c r="G45" s="37" t="s">
        <v>52</v>
      </c>
      <c r="H45" s="37"/>
      <c r="I45" s="37"/>
      <c r="J45" s="37"/>
      <c r="K45" s="8"/>
      <c r="L45" s="48" t="s">
        <v>224</v>
      </c>
    </row>
    <row r="46" spans="1:13" ht="23.25" customHeight="1">
      <c r="A46" s="4"/>
      <c r="B46" s="38" t="s">
        <v>225</v>
      </c>
      <c r="C46" s="38"/>
      <c r="D46" s="38"/>
      <c r="E46" s="38"/>
      <c r="F46" s="38"/>
      <c r="G46" s="25"/>
      <c r="H46" s="25"/>
      <c r="I46" s="25"/>
      <c r="J46" s="25"/>
      <c r="K46" s="8"/>
      <c r="L46" s="76" t="s">
        <v>226</v>
      </c>
      <c r="M46" s="76" t="s">
        <v>227</v>
      </c>
    </row>
    <row r="47" spans="2:12" ht="12.75">
      <c r="B47" s="78"/>
      <c r="C47" s="78"/>
      <c r="D47" s="78"/>
      <c r="E47" s="78"/>
      <c r="F47" s="78"/>
      <c r="G47" s="54"/>
      <c r="H47" s="54"/>
      <c r="I47" s="54"/>
      <c r="J47" s="54"/>
      <c r="L47" s="48"/>
    </row>
    <row r="48" spans="1:12" ht="45.75" customHeight="1">
      <c r="A48" s="4"/>
      <c r="B48" s="36" t="s">
        <v>228</v>
      </c>
      <c r="C48" s="36"/>
      <c r="D48" s="36"/>
      <c r="E48" s="36"/>
      <c r="F48" s="36"/>
      <c r="G48" s="37" t="s">
        <v>52</v>
      </c>
      <c r="H48" s="37"/>
      <c r="I48" s="37"/>
      <c r="J48" s="37"/>
      <c r="K48" s="8"/>
      <c r="L48" s="48" t="s">
        <v>229</v>
      </c>
    </row>
    <row r="49" spans="1:12" ht="26.25" customHeight="1">
      <c r="A49" s="4"/>
      <c r="B49" s="38" t="s">
        <v>230</v>
      </c>
      <c r="C49" s="38"/>
      <c r="D49" s="38"/>
      <c r="E49" s="38"/>
      <c r="F49" s="38"/>
      <c r="G49" s="25"/>
      <c r="H49" s="25"/>
      <c r="I49" s="25"/>
      <c r="J49" s="25"/>
      <c r="K49" s="8"/>
      <c r="L49" s="55">
        <v>355211050704978</v>
      </c>
    </row>
    <row r="50" spans="2:12" ht="14.25" customHeight="1">
      <c r="B50" s="10"/>
      <c r="C50" s="10"/>
      <c r="D50" s="10"/>
      <c r="E50" s="10"/>
      <c r="F50" s="10"/>
      <c r="G50" s="10"/>
      <c r="H50" s="10"/>
      <c r="I50" s="29"/>
      <c r="J50" s="29"/>
      <c r="L50" s="48"/>
    </row>
    <row r="51" spans="1:12" ht="12.75">
      <c r="A51" s="4"/>
      <c r="B51" s="30" t="s">
        <v>231</v>
      </c>
      <c r="C51" s="19" t="s">
        <v>28</v>
      </c>
      <c r="D51" s="19"/>
      <c r="E51" s="19"/>
      <c r="F51" s="19"/>
      <c r="G51" s="31" t="s">
        <v>29</v>
      </c>
      <c r="H51" s="31"/>
      <c r="I51" s="32"/>
      <c r="J51" s="13"/>
      <c r="L51" s="48"/>
    </row>
    <row r="52" spans="1:12" ht="12.75">
      <c r="A52" s="4"/>
      <c r="B52" s="33" t="s">
        <v>32</v>
      </c>
      <c r="C52" s="23"/>
      <c r="D52" s="23" t="s">
        <v>33</v>
      </c>
      <c r="E52" s="23" t="s">
        <v>34</v>
      </c>
      <c r="F52" s="23" t="s">
        <v>35</v>
      </c>
      <c r="G52" s="33" t="s">
        <v>36</v>
      </c>
      <c r="H52" s="33" t="s">
        <v>37</v>
      </c>
      <c r="I52" s="33" t="s">
        <v>38</v>
      </c>
      <c r="J52" s="23" t="s">
        <v>39</v>
      </c>
      <c r="K52" s="8"/>
      <c r="L52" s="48"/>
    </row>
    <row r="53" spans="1:12" ht="13.5">
      <c r="A53" s="4"/>
      <c r="B53" s="57" t="s">
        <v>106</v>
      </c>
      <c r="C53" s="25"/>
      <c r="D53" s="25"/>
      <c r="E53" s="25"/>
      <c r="F53" s="25"/>
      <c r="G53" s="24" t="s">
        <v>41</v>
      </c>
      <c r="H53" s="24"/>
      <c r="I53" s="24"/>
      <c r="J53" s="25"/>
      <c r="K53" s="8"/>
      <c r="L53" s="71" t="s">
        <v>232</v>
      </c>
    </row>
    <row r="54" spans="1:13" ht="13.5">
      <c r="A54" s="4"/>
      <c r="B54" s="57" t="s">
        <v>108</v>
      </c>
      <c r="C54" s="25"/>
      <c r="D54" s="25"/>
      <c r="E54" s="25"/>
      <c r="F54" s="25"/>
      <c r="G54" s="24" t="s">
        <v>41</v>
      </c>
      <c r="H54" s="24"/>
      <c r="I54" s="24"/>
      <c r="J54" s="25"/>
      <c r="K54" s="8"/>
      <c r="L54" s="55" t="s">
        <v>86</v>
      </c>
      <c r="M54" s="76" t="s">
        <v>233</v>
      </c>
    </row>
    <row r="55" spans="1:12" ht="13.5">
      <c r="A55" s="4"/>
      <c r="B55" s="67" t="s">
        <v>109</v>
      </c>
      <c r="C55" s="26"/>
      <c r="D55" s="26"/>
      <c r="E55" s="26"/>
      <c r="F55" s="26"/>
      <c r="G55" s="26"/>
      <c r="H55" s="26" t="s">
        <v>43</v>
      </c>
      <c r="I55" s="26"/>
      <c r="J55" s="26"/>
      <c r="K55" s="8"/>
      <c r="L55" s="48"/>
    </row>
    <row r="56" spans="2:12" ht="14.25" customHeight="1">
      <c r="B56" s="10"/>
      <c r="C56" s="10"/>
      <c r="D56" s="10"/>
      <c r="E56" s="10"/>
      <c r="F56" s="10"/>
      <c r="G56" s="10"/>
      <c r="H56" s="10"/>
      <c r="I56" s="29"/>
      <c r="J56" s="29"/>
      <c r="L56" s="48"/>
    </row>
    <row r="57" spans="1:12" ht="12.75">
      <c r="A57" s="4"/>
      <c r="B57" s="30" t="s">
        <v>234</v>
      </c>
      <c r="C57" s="19" t="s">
        <v>28</v>
      </c>
      <c r="D57" s="19"/>
      <c r="E57" s="19"/>
      <c r="F57" s="19"/>
      <c r="G57" s="31" t="s">
        <v>29</v>
      </c>
      <c r="H57" s="31"/>
      <c r="I57" s="32"/>
      <c r="J57" s="13"/>
      <c r="L57" s="48"/>
    </row>
    <row r="58" spans="1:12" ht="12.75">
      <c r="A58" s="4"/>
      <c r="B58" s="33" t="s">
        <v>32</v>
      </c>
      <c r="C58" s="23"/>
      <c r="D58" s="23" t="s">
        <v>33</v>
      </c>
      <c r="E58" s="23" t="s">
        <v>34</v>
      </c>
      <c r="F58" s="23" t="s">
        <v>35</v>
      </c>
      <c r="G58" s="33" t="s">
        <v>36</v>
      </c>
      <c r="H58" s="33" t="s">
        <v>37</v>
      </c>
      <c r="I58" s="33" t="s">
        <v>38</v>
      </c>
      <c r="J58" s="23" t="s">
        <v>39</v>
      </c>
      <c r="K58" s="8"/>
      <c r="L58" s="48"/>
    </row>
    <row r="59" spans="1:12" ht="12.75">
      <c r="A59" s="4"/>
      <c r="B59" s="57" t="s">
        <v>235</v>
      </c>
      <c r="C59" s="35"/>
      <c r="D59" s="35"/>
      <c r="E59" s="35"/>
      <c r="F59" s="35"/>
      <c r="G59" s="34" t="s">
        <v>41</v>
      </c>
      <c r="H59" s="22"/>
      <c r="I59" s="22"/>
      <c r="J59" s="23"/>
      <c r="K59" s="8"/>
      <c r="L59" s="55" t="s">
        <v>236</v>
      </c>
    </row>
    <row r="60" spans="1:12" ht="12.75">
      <c r="A60" s="4"/>
      <c r="B60" s="57" t="s">
        <v>237</v>
      </c>
      <c r="C60" s="35"/>
      <c r="D60" s="35"/>
      <c r="E60" s="35"/>
      <c r="F60" s="35"/>
      <c r="G60" s="34" t="s">
        <v>41</v>
      </c>
      <c r="H60" s="22"/>
      <c r="I60" s="22"/>
      <c r="J60" s="23"/>
      <c r="K60" s="8"/>
      <c r="L60" s="48"/>
    </row>
    <row r="61" spans="1:12" ht="12.75">
      <c r="A61" s="4"/>
      <c r="B61" s="57" t="s">
        <v>238</v>
      </c>
      <c r="C61" s="35"/>
      <c r="D61" s="35"/>
      <c r="E61" s="35"/>
      <c r="F61" s="35"/>
      <c r="G61" s="34" t="s">
        <v>41</v>
      </c>
      <c r="H61" s="22"/>
      <c r="I61" s="22"/>
      <c r="J61" s="23"/>
      <c r="K61" s="8"/>
      <c r="L61" s="48"/>
    </row>
    <row r="62" spans="2:12" ht="14.25" customHeight="1">
      <c r="B62" s="10"/>
      <c r="C62" s="10"/>
      <c r="D62" s="10"/>
      <c r="E62" s="10"/>
      <c r="F62" s="10"/>
      <c r="G62" s="10"/>
      <c r="H62" s="10"/>
      <c r="I62" s="29"/>
      <c r="J62" s="29"/>
      <c r="L62" s="48"/>
    </row>
    <row r="63" spans="1:13" ht="23.25">
      <c r="A63" s="4"/>
      <c r="B63" s="30" t="s">
        <v>239</v>
      </c>
      <c r="C63" s="19" t="s">
        <v>28</v>
      </c>
      <c r="D63" s="19"/>
      <c r="E63" s="19"/>
      <c r="F63" s="19"/>
      <c r="G63" s="31" t="s">
        <v>29</v>
      </c>
      <c r="H63" s="31"/>
      <c r="I63" s="32"/>
      <c r="J63" s="13"/>
      <c r="L63" s="48"/>
      <c r="M63" s="76" t="s">
        <v>240</v>
      </c>
    </row>
    <row r="64" spans="1:12" ht="12.75">
      <c r="A64" s="4"/>
      <c r="B64" s="33" t="s">
        <v>32</v>
      </c>
      <c r="C64" s="23"/>
      <c r="D64" s="23" t="s">
        <v>33</v>
      </c>
      <c r="E64" s="23" t="s">
        <v>34</v>
      </c>
      <c r="F64" s="23" t="s">
        <v>35</v>
      </c>
      <c r="G64" s="33" t="s">
        <v>36</v>
      </c>
      <c r="H64" s="33" t="s">
        <v>37</v>
      </c>
      <c r="I64" s="33" t="s">
        <v>38</v>
      </c>
      <c r="J64" s="23" t="s">
        <v>39</v>
      </c>
      <c r="K64" s="8"/>
      <c r="L64" s="55"/>
    </row>
    <row r="65" spans="1:13" ht="12.75">
      <c r="A65" s="4"/>
      <c r="B65" s="57" t="s">
        <v>84</v>
      </c>
      <c r="C65" s="35"/>
      <c r="D65" s="35"/>
      <c r="E65" s="35"/>
      <c r="F65" s="35"/>
      <c r="G65" s="34" t="s">
        <v>41</v>
      </c>
      <c r="H65" s="22"/>
      <c r="I65" s="22"/>
      <c r="J65" s="23"/>
      <c r="K65" s="8"/>
      <c r="L65" s="55" t="s">
        <v>86</v>
      </c>
      <c r="M65" s="76" t="s">
        <v>241</v>
      </c>
    </row>
    <row r="66" spans="1:13" ht="12.75">
      <c r="A66" s="4"/>
      <c r="B66" s="57" t="s">
        <v>85</v>
      </c>
      <c r="C66" s="35"/>
      <c r="D66" s="35"/>
      <c r="E66" s="35"/>
      <c r="F66" s="35"/>
      <c r="G66" s="34" t="s">
        <v>41</v>
      </c>
      <c r="H66" s="22"/>
      <c r="I66" s="22"/>
      <c r="J66" s="23"/>
      <c r="K66" s="8"/>
      <c r="L66" s="55" t="s">
        <v>86</v>
      </c>
      <c r="M66" s="76" t="s">
        <v>241</v>
      </c>
    </row>
    <row r="67" spans="1:13" ht="12.75">
      <c r="A67" s="4"/>
      <c r="B67" s="57" t="s">
        <v>87</v>
      </c>
      <c r="C67" s="35"/>
      <c r="D67" s="35"/>
      <c r="E67" s="35"/>
      <c r="F67" s="35"/>
      <c r="G67" s="34" t="s">
        <v>41</v>
      </c>
      <c r="H67" s="22"/>
      <c r="I67" s="22"/>
      <c r="J67" s="23"/>
      <c r="K67" s="8"/>
      <c r="L67" s="55" t="s">
        <v>86</v>
      </c>
      <c r="M67" s="76" t="s">
        <v>241</v>
      </c>
    </row>
    <row r="68" spans="1:13" ht="12.75">
      <c r="A68" s="4"/>
      <c r="B68" s="57" t="s">
        <v>89</v>
      </c>
      <c r="C68" s="35"/>
      <c r="D68" s="35"/>
      <c r="E68" s="35"/>
      <c r="F68" s="35"/>
      <c r="G68" s="34" t="s">
        <v>41</v>
      </c>
      <c r="H68" s="22"/>
      <c r="I68" s="22"/>
      <c r="J68" s="23"/>
      <c r="K68" s="8"/>
      <c r="L68" s="55" t="s">
        <v>86</v>
      </c>
      <c r="M68" s="76" t="s">
        <v>241</v>
      </c>
    </row>
    <row r="69" spans="1:13" ht="12.75">
      <c r="A69" s="4"/>
      <c r="B69" s="57" t="s">
        <v>91</v>
      </c>
      <c r="C69" s="35"/>
      <c r="D69" s="35"/>
      <c r="E69" s="35"/>
      <c r="F69" s="35"/>
      <c r="G69" s="34" t="s">
        <v>41</v>
      </c>
      <c r="H69" s="22"/>
      <c r="I69" s="22"/>
      <c r="J69" s="23"/>
      <c r="K69" s="8"/>
      <c r="L69" s="55" t="s">
        <v>86</v>
      </c>
      <c r="M69" s="76" t="s">
        <v>241</v>
      </c>
    </row>
    <row r="70" spans="1:13" ht="12.75">
      <c r="A70" s="4"/>
      <c r="B70" s="57" t="s">
        <v>93</v>
      </c>
      <c r="C70" s="35"/>
      <c r="D70" s="35"/>
      <c r="E70" s="35"/>
      <c r="F70" s="35"/>
      <c r="G70" s="34" t="s">
        <v>41</v>
      </c>
      <c r="H70" s="22"/>
      <c r="I70" s="22" t="s">
        <v>94</v>
      </c>
      <c r="J70" s="23"/>
      <c r="K70" s="8"/>
      <c r="L70" s="55" t="s">
        <v>86</v>
      </c>
      <c r="M70" s="76" t="s">
        <v>241</v>
      </c>
    </row>
    <row r="71" spans="1:12" ht="12.75">
      <c r="A71" s="4"/>
      <c r="B71" s="67" t="s">
        <v>95</v>
      </c>
      <c r="C71" s="68"/>
      <c r="D71" s="68"/>
      <c r="E71" s="68"/>
      <c r="F71" s="68"/>
      <c r="G71" s="68"/>
      <c r="H71" s="7" t="s">
        <v>43</v>
      </c>
      <c r="I71" s="7"/>
      <c r="J71" s="7"/>
      <c r="K71" s="8"/>
      <c r="L71" s="48"/>
    </row>
    <row r="72" spans="1:13" ht="27" customHeight="1">
      <c r="A72" s="4"/>
      <c r="B72" s="57" t="s">
        <v>96</v>
      </c>
      <c r="C72" s="34"/>
      <c r="D72" s="35"/>
      <c r="E72" s="35"/>
      <c r="F72" s="35"/>
      <c r="G72" s="34" t="s">
        <v>41</v>
      </c>
      <c r="H72" s="22"/>
      <c r="I72" s="18" t="s">
        <v>97</v>
      </c>
      <c r="J72" s="23"/>
      <c r="K72" s="8"/>
      <c r="L72" s="55" t="s">
        <v>86</v>
      </c>
      <c r="M72" s="76" t="s">
        <v>241</v>
      </c>
    </row>
    <row r="73" spans="1:12" ht="12.75">
      <c r="A73" s="4"/>
      <c r="B73" s="67" t="s">
        <v>99</v>
      </c>
      <c r="C73" s="68"/>
      <c r="D73" s="68"/>
      <c r="E73" s="68"/>
      <c r="F73" s="68"/>
      <c r="G73" s="68"/>
      <c r="H73" s="7" t="s">
        <v>43</v>
      </c>
      <c r="I73" s="7"/>
      <c r="J73" s="7"/>
      <c r="K73" s="8"/>
      <c r="L73" s="48"/>
    </row>
    <row r="74" spans="1:13" ht="12.75">
      <c r="A74" s="4"/>
      <c r="B74" s="57" t="s">
        <v>100</v>
      </c>
      <c r="C74" s="34"/>
      <c r="D74" s="35"/>
      <c r="E74" s="35"/>
      <c r="F74" s="35"/>
      <c r="G74" s="34" t="s">
        <v>41</v>
      </c>
      <c r="H74" s="22"/>
      <c r="I74" s="22"/>
      <c r="J74" s="23"/>
      <c r="K74" s="8"/>
      <c r="L74" s="55" t="s">
        <v>86</v>
      </c>
      <c r="M74" s="76" t="s">
        <v>241</v>
      </c>
    </row>
    <row r="75" spans="1:13" ht="12.75">
      <c r="A75" s="4"/>
      <c r="B75" s="57" t="s">
        <v>102</v>
      </c>
      <c r="C75" s="34"/>
      <c r="D75" s="35"/>
      <c r="E75" s="35"/>
      <c r="F75" s="35"/>
      <c r="G75" s="34" t="s">
        <v>41</v>
      </c>
      <c r="H75" s="22"/>
      <c r="I75" s="22"/>
      <c r="J75" s="23"/>
      <c r="K75" s="8"/>
      <c r="L75" s="55" t="s">
        <v>86</v>
      </c>
      <c r="M75" s="76" t="s">
        <v>241</v>
      </c>
    </row>
    <row r="76" spans="1:13" ht="12.75">
      <c r="A76" s="4"/>
      <c r="B76" s="57" t="s">
        <v>242</v>
      </c>
      <c r="C76" s="34"/>
      <c r="D76" s="35"/>
      <c r="E76" s="35"/>
      <c r="F76" s="35"/>
      <c r="G76" s="34" t="s">
        <v>41</v>
      </c>
      <c r="H76" s="22"/>
      <c r="I76" s="59">
        <f>HYPERLINK("TelephonyRecord!Telephony_installation_TimeSpan","TimeSpan")</f>
        <v>0</v>
      </c>
      <c r="J76" s="23"/>
      <c r="K76" s="8"/>
      <c r="L76" s="55" t="s">
        <v>86</v>
      </c>
      <c r="M76" s="76" t="s">
        <v>241</v>
      </c>
    </row>
    <row r="77" spans="2:12" ht="14.25" customHeight="1">
      <c r="B77" s="60"/>
      <c r="C77" s="79"/>
      <c r="D77" s="79"/>
      <c r="E77" s="79"/>
      <c r="F77" s="79"/>
      <c r="G77" s="79"/>
      <c r="H77" s="10"/>
      <c r="I77" s="29"/>
      <c r="J77" s="29"/>
      <c r="L77" s="48"/>
    </row>
    <row r="78" spans="1:12" ht="12.75">
      <c r="A78" s="4"/>
      <c r="B78" s="30" t="s">
        <v>243</v>
      </c>
      <c r="C78" s="19" t="s">
        <v>28</v>
      </c>
      <c r="D78" s="19"/>
      <c r="E78" s="19"/>
      <c r="F78" s="19"/>
      <c r="G78" s="31" t="s">
        <v>29</v>
      </c>
      <c r="H78" s="31"/>
      <c r="I78" s="32"/>
      <c r="J78" s="13"/>
      <c r="L78" s="48"/>
    </row>
    <row r="79" spans="1:12" ht="12.75">
      <c r="A79" s="4"/>
      <c r="B79" s="33" t="s">
        <v>32</v>
      </c>
      <c r="C79" s="23"/>
      <c r="D79" s="23" t="s">
        <v>33</v>
      </c>
      <c r="E79" s="23" t="s">
        <v>34</v>
      </c>
      <c r="F79" s="23" t="s">
        <v>35</v>
      </c>
      <c r="G79" s="33" t="s">
        <v>36</v>
      </c>
      <c r="H79" s="33" t="s">
        <v>37</v>
      </c>
      <c r="I79" s="33" t="s">
        <v>38</v>
      </c>
      <c r="J79" s="23" t="s">
        <v>39</v>
      </c>
      <c r="K79" s="8"/>
      <c r="L79" s="48"/>
    </row>
    <row r="80" spans="1:13" ht="28.5" customHeight="1">
      <c r="A80" s="4"/>
      <c r="B80" s="57" t="s">
        <v>106</v>
      </c>
      <c r="C80" s="25"/>
      <c r="D80" s="25"/>
      <c r="E80" s="25"/>
      <c r="F80" s="25"/>
      <c r="G80" s="24" t="s">
        <v>41</v>
      </c>
      <c r="H80" s="24"/>
      <c r="I80" s="24" t="s">
        <v>244</v>
      </c>
      <c r="J80" s="25"/>
      <c r="K80" s="8"/>
      <c r="L80" s="55" t="s">
        <v>86</v>
      </c>
      <c r="M80" s="76" t="s">
        <v>245</v>
      </c>
    </row>
    <row r="81" spans="1:13" ht="28.5" customHeight="1">
      <c r="A81" s="4"/>
      <c r="B81" s="57" t="s">
        <v>108</v>
      </c>
      <c r="C81" s="25"/>
      <c r="D81" s="25"/>
      <c r="E81" s="25"/>
      <c r="F81" s="25"/>
      <c r="G81" s="24" t="s">
        <v>41</v>
      </c>
      <c r="H81" s="24"/>
      <c r="I81" s="24" t="s">
        <v>246</v>
      </c>
      <c r="J81" s="25"/>
      <c r="K81" s="8"/>
      <c r="L81" s="55" t="s">
        <v>86</v>
      </c>
      <c r="M81" s="76" t="s">
        <v>245</v>
      </c>
    </row>
    <row r="82" spans="1:12" ht="13.5">
      <c r="A82" s="4"/>
      <c r="B82" s="67" t="s">
        <v>109</v>
      </c>
      <c r="C82" s="26"/>
      <c r="D82" s="26"/>
      <c r="E82" s="26"/>
      <c r="F82" s="26"/>
      <c r="G82" s="26"/>
      <c r="H82" s="26" t="s">
        <v>43</v>
      </c>
      <c r="I82" s="26"/>
      <c r="J82" s="26"/>
      <c r="K82" s="8"/>
      <c r="L82" s="48"/>
    </row>
    <row r="83" spans="2:12" ht="14.25" customHeight="1">
      <c r="B83" s="60"/>
      <c r="C83" s="79"/>
      <c r="D83" s="79"/>
      <c r="E83" s="79"/>
      <c r="F83" s="79"/>
      <c r="G83" s="79"/>
      <c r="H83" s="10"/>
      <c r="I83" s="29"/>
      <c r="J83" s="29"/>
      <c r="L83" s="48"/>
    </row>
    <row r="84" spans="1:12" ht="12.75">
      <c r="A84" s="4"/>
      <c r="B84" s="30" t="s">
        <v>247</v>
      </c>
      <c r="C84" s="19" t="s">
        <v>28</v>
      </c>
      <c r="D84" s="19"/>
      <c r="E84" s="19"/>
      <c r="F84" s="19"/>
      <c r="G84" s="31" t="s">
        <v>29</v>
      </c>
      <c r="H84" s="31"/>
      <c r="I84" s="32"/>
      <c r="J84" s="13"/>
      <c r="L84" s="48"/>
    </row>
    <row r="85" spans="1:12" ht="12.75">
      <c r="A85" s="4"/>
      <c r="B85" s="33" t="s">
        <v>32</v>
      </c>
      <c r="C85" s="23"/>
      <c r="D85" s="23" t="s">
        <v>33</v>
      </c>
      <c r="E85" s="23" t="s">
        <v>34</v>
      </c>
      <c r="F85" s="23" t="s">
        <v>35</v>
      </c>
      <c r="G85" s="33" t="s">
        <v>36</v>
      </c>
      <c r="H85" s="33" t="s">
        <v>37</v>
      </c>
      <c r="I85" s="33" t="s">
        <v>38</v>
      </c>
      <c r="J85" s="23" t="s">
        <v>39</v>
      </c>
      <c r="K85" s="8"/>
      <c r="L85" s="48"/>
    </row>
    <row r="86" spans="1:12" ht="12.75">
      <c r="A86" s="4"/>
      <c r="B86" s="57" t="s">
        <v>248</v>
      </c>
      <c r="C86" s="35"/>
      <c r="D86" s="35"/>
      <c r="E86" s="35"/>
      <c r="F86" s="35"/>
      <c r="G86" s="34" t="s">
        <v>41</v>
      </c>
      <c r="H86" s="22"/>
      <c r="I86" s="59">
        <f>HYPERLINK("TelephonyRecord!BillingMethod","BillingMethod")</f>
        <v>0</v>
      </c>
      <c r="J86" s="23"/>
      <c r="K86" s="8"/>
      <c r="L86" s="55" t="s">
        <v>249</v>
      </c>
    </row>
    <row r="87" spans="1:12" ht="12.75">
      <c r="A87" s="4"/>
      <c r="B87" s="57" t="s">
        <v>250</v>
      </c>
      <c r="C87" s="35"/>
      <c r="D87" s="35"/>
      <c r="E87" s="35"/>
      <c r="F87" s="35"/>
      <c r="G87" s="34" t="s">
        <v>41</v>
      </c>
      <c r="H87" s="22"/>
      <c r="I87" s="59">
        <f>HYPERLINK("TelephonyRecord!BankAccount","BankAccount")</f>
        <v>0</v>
      </c>
      <c r="J87" s="23"/>
      <c r="K87" s="8"/>
      <c r="L87" s="55" t="s">
        <v>251</v>
      </c>
    </row>
    <row r="88" spans="1:12" ht="12.75">
      <c r="A88" s="4"/>
      <c r="B88" s="57" t="s">
        <v>252</v>
      </c>
      <c r="C88" s="35"/>
      <c r="D88" s="35"/>
      <c r="E88" s="35"/>
      <c r="F88" s="35"/>
      <c r="G88" s="34" t="s">
        <v>41</v>
      </c>
      <c r="H88" s="22"/>
      <c r="I88" s="59">
        <f>HYPERLINK("ContactDetails_billingAddress","ContactDetails")</f>
        <v>0</v>
      </c>
      <c r="J88" s="23"/>
      <c r="K88" s="8"/>
      <c r="L88" s="55" t="s">
        <v>113</v>
      </c>
    </row>
    <row r="89" spans="2:12" ht="14.25" customHeight="1">
      <c r="B89" s="10"/>
      <c r="C89" s="10"/>
      <c r="D89" s="10"/>
      <c r="E89" s="10"/>
      <c r="F89" s="10"/>
      <c r="G89" s="10"/>
      <c r="H89" s="10"/>
      <c r="I89" s="29"/>
      <c r="J89" s="29"/>
      <c r="L89" s="48"/>
    </row>
    <row r="90" spans="1:12" ht="12.75">
      <c r="A90" s="4"/>
      <c r="B90" s="30" t="s">
        <v>253</v>
      </c>
      <c r="C90" s="19" t="s">
        <v>28</v>
      </c>
      <c r="D90" s="19"/>
      <c r="E90" s="19"/>
      <c r="F90" s="19"/>
      <c r="G90" s="31" t="s">
        <v>29</v>
      </c>
      <c r="H90" s="31"/>
      <c r="I90" s="32"/>
      <c r="J90" s="13"/>
      <c r="L90" s="48"/>
    </row>
    <row r="91" spans="1:12" ht="12.75">
      <c r="A91" s="4"/>
      <c r="B91" s="33" t="s">
        <v>32</v>
      </c>
      <c r="C91" s="23"/>
      <c r="D91" s="23" t="s">
        <v>33</v>
      </c>
      <c r="E91" s="23" t="s">
        <v>34</v>
      </c>
      <c r="F91" s="23" t="s">
        <v>35</v>
      </c>
      <c r="G91" s="33" t="s">
        <v>36</v>
      </c>
      <c r="H91" s="33" t="s">
        <v>37</v>
      </c>
      <c r="I91" s="33" t="s">
        <v>38</v>
      </c>
      <c r="J91" s="23" t="s">
        <v>39</v>
      </c>
      <c r="K91" s="8"/>
      <c r="L91" s="48"/>
    </row>
    <row r="92" spans="1:12" ht="12.75">
      <c r="A92" s="4"/>
      <c r="B92" s="57" t="s">
        <v>254</v>
      </c>
      <c r="C92" s="35"/>
      <c r="D92" s="35"/>
      <c r="E92" s="35"/>
      <c r="F92" s="35"/>
      <c r="G92" s="34" t="s">
        <v>41</v>
      </c>
      <c r="H92" s="22"/>
      <c r="I92" s="22"/>
      <c r="J92" s="23"/>
      <c r="K92" s="8"/>
      <c r="L92" s="48"/>
    </row>
    <row r="93" spans="1:12" ht="12.75">
      <c r="A93" s="4"/>
      <c r="B93" s="57" t="s">
        <v>255</v>
      </c>
      <c r="C93" s="35"/>
      <c r="D93" s="35"/>
      <c r="E93" s="35"/>
      <c r="F93" s="35"/>
      <c r="G93" s="34" t="s">
        <v>41</v>
      </c>
      <c r="H93" s="22"/>
      <c r="I93" s="22"/>
      <c r="J93" s="23"/>
      <c r="K93" s="8"/>
      <c r="L93" s="48"/>
    </row>
    <row r="94" spans="1:12" ht="12.75">
      <c r="A94" s="4"/>
      <c r="B94" s="57" t="s">
        <v>256</v>
      </c>
      <c r="C94" s="35"/>
      <c r="D94" s="35"/>
      <c r="E94" s="35"/>
      <c r="F94" s="35"/>
      <c r="G94" s="34" t="s">
        <v>41</v>
      </c>
      <c r="H94" s="22"/>
      <c r="I94" s="22"/>
      <c r="J94" s="23"/>
      <c r="K94" s="8"/>
      <c r="L94" s="48" t="s">
        <v>257</v>
      </c>
    </row>
    <row r="95" spans="2:12" ht="14.25" customHeight="1">
      <c r="B95" s="10"/>
      <c r="C95" s="10"/>
      <c r="D95" s="10"/>
      <c r="E95" s="10"/>
      <c r="F95" s="10"/>
      <c r="G95" s="10"/>
      <c r="H95" s="10"/>
      <c r="I95" s="29"/>
      <c r="J95" s="29"/>
      <c r="L95" s="48"/>
    </row>
    <row r="96" spans="1:12" ht="12.75">
      <c r="A96" s="4"/>
      <c r="B96" s="30" t="s">
        <v>258</v>
      </c>
      <c r="C96" s="19" t="s">
        <v>28</v>
      </c>
      <c r="D96" s="19"/>
      <c r="E96" s="19"/>
      <c r="F96" s="19"/>
      <c r="G96" s="31" t="s">
        <v>29</v>
      </c>
      <c r="H96" s="31"/>
      <c r="I96" s="32"/>
      <c r="J96" s="13"/>
      <c r="L96" s="48"/>
    </row>
    <row r="97" spans="1:12" ht="12.75">
      <c r="A97" s="4"/>
      <c r="B97" s="33" t="s">
        <v>32</v>
      </c>
      <c r="C97" s="23"/>
      <c r="D97" s="23" t="s">
        <v>33</v>
      </c>
      <c r="E97" s="23" t="s">
        <v>34</v>
      </c>
      <c r="F97" s="23" t="s">
        <v>35</v>
      </c>
      <c r="G97" s="33" t="s">
        <v>36</v>
      </c>
      <c r="H97" s="33" t="s">
        <v>37</v>
      </c>
      <c r="I97" s="33" t="s">
        <v>38</v>
      </c>
      <c r="J97" s="23" t="s">
        <v>39</v>
      </c>
      <c r="K97" s="8"/>
      <c r="L97" s="48"/>
    </row>
    <row r="98" spans="1:13" ht="45" customHeight="1">
      <c r="A98" s="4"/>
      <c r="B98" s="57" t="s">
        <v>259</v>
      </c>
      <c r="C98" s="35"/>
      <c r="D98" s="35"/>
      <c r="E98" s="35"/>
      <c r="F98" s="35"/>
      <c r="G98" s="34" t="s">
        <v>41</v>
      </c>
      <c r="H98" s="22"/>
      <c r="I98" s="24" t="s">
        <v>260</v>
      </c>
      <c r="J98" s="25"/>
      <c r="K98" s="8"/>
      <c r="L98" s="55" t="s">
        <v>86</v>
      </c>
      <c r="M98" s="76" t="s">
        <v>261</v>
      </c>
    </row>
    <row r="99" spans="1:12" ht="43.5" customHeight="1">
      <c r="A99" s="4"/>
      <c r="B99" s="57" t="s">
        <v>262</v>
      </c>
      <c r="C99" s="35"/>
      <c r="D99" s="35"/>
      <c r="E99" s="35"/>
      <c r="F99" s="35"/>
      <c r="G99" s="34" t="s">
        <v>263</v>
      </c>
      <c r="H99" s="22"/>
      <c r="I99" s="24" t="s">
        <v>264</v>
      </c>
      <c r="J99" s="25"/>
      <c r="K99" s="8"/>
      <c r="L99" s="55" t="s">
        <v>86</v>
      </c>
    </row>
    <row r="100" spans="1:12" ht="13.5">
      <c r="A100" s="4"/>
      <c r="B100" s="57" t="s">
        <v>265</v>
      </c>
      <c r="C100" s="35"/>
      <c r="D100" s="35"/>
      <c r="E100" s="35"/>
      <c r="F100" s="35"/>
      <c r="G100" s="34" t="s">
        <v>41</v>
      </c>
      <c r="H100" s="22"/>
      <c r="I100" s="24" t="s">
        <v>123</v>
      </c>
      <c r="J100" s="25"/>
      <c r="K100" s="8"/>
      <c r="L100" s="55" t="s">
        <v>86</v>
      </c>
    </row>
    <row r="101" spans="1:12" ht="42.75" customHeight="1">
      <c r="A101" s="4"/>
      <c r="B101" s="57" t="s">
        <v>266</v>
      </c>
      <c r="C101" s="35"/>
      <c r="D101" s="35"/>
      <c r="E101" s="35"/>
      <c r="F101" s="35"/>
      <c r="G101" s="34" t="s">
        <v>41</v>
      </c>
      <c r="H101" s="22"/>
      <c r="I101" s="24" t="s">
        <v>267</v>
      </c>
      <c r="J101" s="25"/>
      <c r="K101" s="8"/>
      <c r="L101" s="55" t="s">
        <v>86</v>
      </c>
    </row>
    <row r="102" spans="1:12" ht="39">
      <c r="A102" s="4"/>
      <c r="B102" s="57" t="s">
        <v>268</v>
      </c>
      <c r="C102" s="35"/>
      <c r="D102" s="35"/>
      <c r="E102" s="35"/>
      <c r="F102" s="35"/>
      <c r="G102" s="34" t="s">
        <v>41</v>
      </c>
      <c r="H102" s="22"/>
      <c r="I102" s="24" t="s">
        <v>269</v>
      </c>
      <c r="J102" s="25"/>
      <c r="K102" s="8"/>
      <c r="L102" s="55" t="s">
        <v>86</v>
      </c>
    </row>
    <row r="103" spans="1:12" ht="13.5">
      <c r="A103" s="4"/>
      <c r="B103" s="57" t="s">
        <v>270</v>
      </c>
      <c r="C103" s="35"/>
      <c r="D103" s="35"/>
      <c r="E103" s="35"/>
      <c r="F103" s="35"/>
      <c r="G103" s="34" t="s">
        <v>41</v>
      </c>
      <c r="H103" s="22"/>
      <c r="I103" s="24" t="s">
        <v>123</v>
      </c>
      <c r="J103" s="25"/>
      <c r="K103" s="8"/>
      <c r="L103" s="55" t="s">
        <v>86</v>
      </c>
    </row>
    <row r="104" spans="2:12" ht="14.25" customHeight="1">
      <c r="B104" s="10"/>
      <c r="C104" s="10"/>
      <c r="D104" s="10"/>
      <c r="E104" s="10"/>
      <c r="F104" s="10"/>
      <c r="G104" s="10"/>
      <c r="H104" s="10"/>
      <c r="I104" s="29"/>
      <c r="J104" s="29"/>
      <c r="L104" s="48"/>
    </row>
    <row r="105" spans="1:12" ht="12.75">
      <c r="A105" s="4"/>
      <c r="B105" s="30" t="s">
        <v>73</v>
      </c>
      <c r="C105" s="19" t="s">
        <v>28</v>
      </c>
      <c r="D105" s="19"/>
      <c r="E105" s="19"/>
      <c r="F105" s="19"/>
      <c r="G105" s="31" t="s">
        <v>29</v>
      </c>
      <c r="H105" s="31"/>
      <c r="I105" s="32"/>
      <c r="J105" s="13"/>
      <c r="L105" s="48"/>
    </row>
    <row r="106" spans="1:12" ht="12.75">
      <c r="A106" s="4"/>
      <c r="B106" s="33" t="s">
        <v>32</v>
      </c>
      <c r="C106" s="23"/>
      <c r="D106" s="23" t="s">
        <v>33</v>
      </c>
      <c r="E106" s="23" t="s">
        <v>34</v>
      </c>
      <c r="F106" s="23" t="s">
        <v>35</v>
      </c>
      <c r="G106" s="33" t="s">
        <v>36</v>
      </c>
      <c r="H106" s="33" t="s">
        <v>37</v>
      </c>
      <c r="I106" s="33" t="s">
        <v>38</v>
      </c>
      <c r="J106" s="23" t="s">
        <v>39</v>
      </c>
      <c r="K106" s="8"/>
      <c r="L106" s="48"/>
    </row>
    <row r="107" spans="1:12" ht="23.25">
      <c r="A107" s="4"/>
      <c r="B107" s="63" t="s">
        <v>74</v>
      </c>
      <c r="C107" s="23"/>
      <c r="D107" s="23"/>
      <c r="E107" s="23"/>
      <c r="F107" s="23"/>
      <c r="G107" s="22" t="s">
        <v>41</v>
      </c>
      <c r="H107" s="22"/>
      <c r="I107" s="59">
        <f>HYPERLINK("TelephonyRecord!AddressInformation_address","AddressInformation")</f>
        <v>0</v>
      </c>
      <c r="J107" s="23"/>
      <c r="K107" s="8"/>
      <c r="L107" s="48" t="s">
        <v>271</v>
      </c>
    </row>
    <row r="108" spans="1:12" ht="12.75">
      <c r="A108" s="4"/>
      <c r="B108" s="57" t="s">
        <v>76</v>
      </c>
      <c r="C108" s="35"/>
      <c r="D108" s="35"/>
      <c r="E108" s="35"/>
      <c r="F108" s="35"/>
      <c r="G108" s="34" t="s">
        <v>41</v>
      </c>
      <c r="H108" s="22"/>
      <c r="I108" s="22"/>
      <c r="J108" s="23"/>
      <c r="K108" s="8"/>
      <c r="L108" s="48" t="s">
        <v>272</v>
      </c>
    </row>
    <row r="109" spans="1:12" ht="26.25">
      <c r="A109" s="4"/>
      <c r="B109" s="57" t="s">
        <v>78</v>
      </c>
      <c r="C109" s="35"/>
      <c r="D109" s="35"/>
      <c r="E109" s="35"/>
      <c r="F109" s="35"/>
      <c r="G109" s="34" t="s">
        <v>41</v>
      </c>
      <c r="H109" s="22"/>
      <c r="I109" s="24" t="s">
        <v>79</v>
      </c>
      <c r="J109" s="23"/>
      <c r="K109" s="8"/>
      <c r="L109" s="48" t="s">
        <v>272</v>
      </c>
    </row>
    <row r="110" spans="1:12" ht="26.25">
      <c r="A110" s="4"/>
      <c r="B110" s="57" t="s">
        <v>80</v>
      </c>
      <c r="C110" s="35"/>
      <c r="D110" s="35"/>
      <c r="E110" s="35"/>
      <c r="F110" s="35"/>
      <c r="G110" s="34" t="s">
        <v>41</v>
      </c>
      <c r="H110" s="22"/>
      <c r="I110" s="24" t="s">
        <v>81</v>
      </c>
      <c r="J110" s="23"/>
      <c r="K110" s="8"/>
      <c r="L110" s="48">
        <v>2</v>
      </c>
    </row>
    <row r="111" spans="2:12" ht="14.25" customHeight="1">
      <c r="B111" s="10"/>
      <c r="C111" s="10"/>
      <c r="D111" s="10"/>
      <c r="E111" s="10"/>
      <c r="F111" s="10"/>
      <c r="G111" s="10"/>
      <c r="H111" s="10"/>
      <c r="I111" s="29"/>
      <c r="J111" s="29"/>
      <c r="L111" s="48" t="s">
        <v>86</v>
      </c>
    </row>
    <row r="112" spans="1:12" ht="12.75">
      <c r="A112" s="4"/>
      <c r="B112" s="30" t="s">
        <v>83</v>
      </c>
      <c r="C112" s="19" t="s">
        <v>28</v>
      </c>
      <c r="D112" s="19"/>
      <c r="E112" s="19"/>
      <c r="F112" s="19"/>
      <c r="G112" s="31" t="s">
        <v>29</v>
      </c>
      <c r="H112" s="31"/>
      <c r="I112" s="32"/>
      <c r="J112" s="13"/>
      <c r="L112" s="48" t="s">
        <v>88</v>
      </c>
    </row>
    <row r="113" spans="1:12" ht="12.75">
      <c r="A113" s="4"/>
      <c r="B113" s="33" t="s">
        <v>32</v>
      </c>
      <c r="C113" s="23"/>
      <c r="D113" s="23" t="s">
        <v>33</v>
      </c>
      <c r="E113" s="23" t="s">
        <v>34</v>
      </c>
      <c r="F113" s="23" t="s">
        <v>35</v>
      </c>
      <c r="G113" s="33" t="s">
        <v>36</v>
      </c>
      <c r="H113" s="33" t="s">
        <v>37</v>
      </c>
      <c r="I113" s="33" t="s">
        <v>38</v>
      </c>
      <c r="J113" s="23" t="s">
        <v>39</v>
      </c>
      <c r="K113" s="8"/>
      <c r="L113" s="48" t="s">
        <v>90</v>
      </c>
    </row>
    <row r="114" spans="1:12" ht="12.75">
      <c r="A114" s="4"/>
      <c r="B114" s="57" t="s">
        <v>84</v>
      </c>
      <c r="C114" s="35"/>
      <c r="D114" s="35"/>
      <c r="E114" s="35"/>
      <c r="F114" s="35"/>
      <c r="G114" s="34" t="s">
        <v>41</v>
      </c>
      <c r="H114" s="22"/>
      <c r="I114" s="22"/>
      <c r="J114" s="23"/>
      <c r="K114" s="8"/>
      <c r="L114" s="48" t="s">
        <v>92</v>
      </c>
    </row>
    <row r="115" spans="1:12" ht="12.75">
      <c r="A115" s="4"/>
      <c r="B115" s="57" t="s">
        <v>85</v>
      </c>
      <c r="C115" s="35"/>
      <c r="D115" s="35"/>
      <c r="E115" s="35"/>
      <c r="F115" s="35"/>
      <c r="G115" s="34" t="s">
        <v>41</v>
      </c>
      <c r="H115" s="22"/>
      <c r="I115" s="22"/>
      <c r="J115" s="23"/>
      <c r="K115" s="8"/>
      <c r="L115" s="48">
        <v>8045</v>
      </c>
    </row>
    <row r="116" spans="1:12" ht="12.75">
      <c r="A116" s="4"/>
      <c r="B116" s="57" t="s">
        <v>87</v>
      </c>
      <c r="C116" s="35"/>
      <c r="D116" s="35"/>
      <c r="E116" s="35"/>
      <c r="F116" s="35"/>
      <c r="G116" s="34" t="s">
        <v>41</v>
      </c>
      <c r="H116" s="22"/>
      <c r="I116" s="22"/>
      <c r="J116" s="23"/>
      <c r="K116" s="8"/>
      <c r="L116" s="48"/>
    </row>
    <row r="117" spans="1:12" ht="12.75">
      <c r="A117" s="4"/>
      <c r="B117" s="57" t="s">
        <v>89</v>
      </c>
      <c r="C117" s="35"/>
      <c r="D117" s="35"/>
      <c r="E117" s="35"/>
      <c r="F117" s="35"/>
      <c r="G117" s="34" t="s">
        <v>41</v>
      </c>
      <c r="H117" s="22"/>
      <c r="I117" s="22"/>
      <c r="J117" s="23"/>
      <c r="K117" s="8"/>
      <c r="L117" s="48" t="s">
        <v>98</v>
      </c>
    </row>
    <row r="118" spans="1:12" ht="12.75">
      <c r="A118" s="4"/>
      <c r="B118" s="57" t="s">
        <v>91</v>
      </c>
      <c r="C118" s="35"/>
      <c r="D118" s="35"/>
      <c r="E118" s="35"/>
      <c r="F118" s="35"/>
      <c r="G118" s="34" t="s">
        <v>41</v>
      </c>
      <c r="H118" s="22"/>
      <c r="I118" s="22"/>
      <c r="J118" s="23"/>
      <c r="K118" s="8"/>
      <c r="L118" s="48"/>
    </row>
    <row r="119" spans="1:12" ht="12.75">
      <c r="A119" s="4"/>
      <c r="B119" s="57" t="s">
        <v>93</v>
      </c>
      <c r="C119" s="35"/>
      <c r="D119" s="35"/>
      <c r="E119" s="35"/>
      <c r="F119" s="35"/>
      <c r="G119" s="34" t="s">
        <v>41</v>
      </c>
      <c r="H119" s="22"/>
      <c r="I119" s="22" t="s">
        <v>94</v>
      </c>
      <c r="J119" s="23"/>
      <c r="K119" s="8"/>
      <c r="L119" s="48" t="s">
        <v>101</v>
      </c>
    </row>
    <row r="120" spans="1:12" ht="12.75">
      <c r="A120" s="4"/>
      <c r="B120" s="67" t="s">
        <v>95</v>
      </c>
      <c r="C120" s="68"/>
      <c r="D120" s="68"/>
      <c r="E120" s="68"/>
      <c r="F120" s="68"/>
      <c r="G120" s="68"/>
      <c r="H120" s="7" t="s">
        <v>43</v>
      </c>
      <c r="I120" s="7"/>
      <c r="J120" s="7"/>
      <c r="K120" s="8"/>
      <c r="L120" s="48" t="s">
        <v>103</v>
      </c>
    </row>
    <row r="121" spans="1:12" ht="27" customHeight="1">
      <c r="A121" s="4"/>
      <c r="B121" s="57" t="s">
        <v>96</v>
      </c>
      <c r="C121" s="34"/>
      <c r="D121" s="35"/>
      <c r="E121" s="35"/>
      <c r="F121" s="35"/>
      <c r="G121" s="34" t="s">
        <v>41</v>
      </c>
      <c r="H121" s="22"/>
      <c r="I121" s="18" t="s">
        <v>97</v>
      </c>
      <c r="J121" s="23"/>
      <c r="K121" s="8"/>
      <c r="L121" s="48" t="s">
        <v>189</v>
      </c>
    </row>
    <row r="122" spans="1:12" ht="12.75">
      <c r="A122" s="4"/>
      <c r="B122" s="67" t="s">
        <v>99</v>
      </c>
      <c r="C122" s="68"/>
      <c r="D122" s="68"/>
      <c r="E122" s="68"/>
      <c r="F122" s="68"/>
      <c r="G122" s="68"/>
      <c r="H122" s="7" t="s">
        <v>43</v>
      </c>
      <c r="I122" s="7"/>
      <c r="J122" s="7"/>
      <c r="K122" s="8"/>
      <c r="L122" s="48"/>
    </row>
    <row r="123" spans="1:12" ht="12.75">
      <c r="A123" s="4"/>
      <c r="B123" s="57" t="s">
        <v>100</v>
      </c>
      <c r="C123" s="34"/>
      <c r="D123" s="35"/>
      <c r="E123" s="35"/>
      <c r="F123" s="35"/>
      <c r="G123" s="34" t="s">
        <v>41</v>
      </c>
      <c r="H123" s="22"/>
      <c r="I123" s="22"/>
      <c r="J123" s="23"/>
      <c r="K123" s="8"/>
      <c r="L123" s="48"/>
    </row>
    <row r="124" spans="1:11" ht="12.75">
      <c r="A124" s="4"/>
      <c r="B124" s="57" t="s">
        <v>102</v>
      </c>
      <c r="C124" s="34"/>
      <c r="D124" s="35"/>
      <c r="E124" s="35"/>
      <c r="F124" s="35"/>
      <c r="G124" s="34" t="s">
        <v>41</v>
      </c>
      <c r="H124" s="22"/>
      <c r="I124" s="22"/>
      <c r="J124" s="23"/>
      <c r="K124" s="8"/>
    </row>
    <row r="125" spans="1:12" ht="12.75">
      <c r="A125" s="4"/>
      <c r="B125" s="57" t="s">
        <v>242</v>
      </c>
      <c r="C125" s="34"/>
      <c r="D125" s="35"/>
      <c r="E125" s="35"/>
      <c r="F125" s="35"/>
      <c r="G125" s="34" t="s">
        <v>41</v>
      </c>
      <c r="H125" s="22"/>
      <c r="I125" s="59">
        <f>HYPERLINK("TelephonyRecord!Telephony_payment_TimeSpan","TimeSpan")</f>
        <v>0</v>
      </c>
      <c r="J125" s="23"/>
      <c r="K125" s="8"/>
      <c r="L125" s="48" t="s">
        <v>107</v>
      </c>
    </row>
    <row r="126" spans="2:12" ht="14.25" customHeight="1">
      <c r="B126" s="60"/>
      <c r="C126" s="79"/>
      <c r="D126" s="79"/>
      <c r="E126" s="79"/>
      <c r="F126" s="79"/>
      <c r="G126" s="79"/>
      <c r="H126" s="10"/>
      <c r="I126" s="29"/>
      <c r="J126" s="29"/>
      <c r="L126" s="76" t="s">
        <v>86</v>
      </c>
    </row>
    <row r="127" spans="1:12" ht="12.75">
      <c r="A127" s="4"/>
      <c r="B127" s="30" t="s">
        <v>231</v>
      </c>
      <c r="C127" s="19" t="s">
        <v>28</v>
      </c>
      <c r="D127" s="19"/>
      <c r="E127" s="19"/>
      <c r="F127" s="19"/>
      <c r="G127" s="31" t="s">
        <v>29</v>
      </c>
      <c r="H127" s="31"/>
      <c r="I127" s="32"/>
      <c r="J127" s="13"/>
      <c r="L127" s="48"/>
    </row>
    <row r="128" spans="1:12" ht="12.75">
      <c r="A128" s="4"/>
      <c r="B128" s="33" t="s">
        <v>32</v>
      </c>
      <c r="C128" s="23"/>
      <c r="D128" s="23" t="s">
        <v>33</v>
      </c>
      <c r="E128" s="23" t="s">
        <v>34</v>
      </c>
      <c r="F128" s="23" t="s">
        <v>35</v>
      </c>
      <c r="G128" s="33" t="s">
        <v>36</v>
      </c>
      <c r="H128" s="33" t="s">
        <v>37</v>
      </c>
      <c r="I128" s="33" t="s">
        <v>38</v>
      </c>
      <c r="J128" s="23" t="s">
        <v>39</v>
      </c>
      <c r="K128" s="8"/>
      <c r="L128" s="48"/>
    </row>
    <row r="129" spans="1:12" ht="13.5">
      <c r="A129" s="4"/>
      <c r="B129" s="57" t="s">
        <v>106</v>
      </c>
      <c r="C129" s="25"/>
      <c r="D129" s="25"/>
      <c r="E129" s="25"/>
      <c r="F129" s="25"/>
      <c r="G129" s="24" t="s">
        <v>41</v>
      </c>
      <c r="H129" s="24"/>
      <c r="I129" s="24" t="s">
        <v>273</v>
      </c>
      <c r="J129" s="25"/>
      <c r="K129" s="8"/>
      <c r="L129" s="48" t="s">
        <v>272</v>
      </c>
    </row>
    <row r="130" spans="1:12" ht="13.5">
      <c r="A130" s="4"/>
      <c r="B130" s="57" t="s">
        <v>108</v>
      </c>
      <c r="C130" s="25"/>
      <c r="D130" s="25"/>
      <c r="E130" s="25"/>
      <c r="F130" s="25"/>
      <c r="G130" s="24" t="s">
        <v>41</v>
      </c>
      <c r="H130" s="24"/>
      <c r="I130" s="24" t="s">
        <v>274</v>
      </c>
      <c r="J130" s="25"/>
      <c r="K130" s="8"/>
      <c r="L130" s="48" t="s">
        <v>272</v>
      </c>
    </row>
    <row r="131" spans="1:12" ht="13.5">
      <c r="A131" s="4"/>
      <c r="B131" s="67" t="s">
        <v>109</v>
      </c>
      <c r="C131" s="26"/>
      <c r="D131" s="26"/>
      <c r="E131" s="26"/>
      <c r="F131" s="26"/>
      <c r="G131" s="26"/>
      <c r="H131" s="26" t="s">
        <v>43</v>
      </c>
      <c r="I131" s="26"/>
      <c r="J131" s="26"/>
      <c r="K131" s="8"/>
      <c r="L131" s="48"/>
    </row>
    <row r="132" spans="2:12" ht="14.25" customHeight="1">
      <c r="B132" s="29"/>
      <c r="C132" s="29"/>
      <c r="D132" s="29"/>
      <c r="E132" s="29"/>
      <c r="F132" s="29"/>
      <c r="G132" s="29"/>
      <c r="H132" s="29"/>
      <c r="I132" s="29"/>
      <c r="J132" s="29"/>
      <c r="L132" s="48"/>
    </row>
    <row r="133" spans="1:12" ht="12.75">
      <c r="A133" s="50" t="s">
        <v>275</v>
      </c>
      <c r="B133" s="50"/>
      <c r="C133" s="51"/>
      <c r="D133" s="51"/>
      <c r="E133" s="51"/>
      <c r="F133" s="51"/>
      <c r="G133" s="51"/>
      <c r="H133" s="51"/>
      <c r="I133" s="51"/>
      <c r="J133" s="51"/>
      <c r="L133" s="48"/>
    </row>
    <row r="134" spans="2:12" ht="14.25" customHeight="1">
      <c r="B134" s="3"/>
      <c r="C134" s="3"/>
      <c r="D134" s="3"/>
      <c r="E134" s="3"/>
      <c r="F134" s="3"/>
      <c r="G134" s="3"/>
      <c r="H134" s="3"/>
      <c r="L134" s="48"/>
    </row>
    <row r="135" spans="1:12" ht="12.75">
      <c r="A135" s="4"/>
      <c r="B135" s="30" t="s">
        <v>276</v>
      </c>
      <c r="C135" s="19" t="s">
        <v>28</v>
      </c>
      <c r="D135" s="19"/>
      <c r="E135" s="19"/>
      <c r="F135" s="19"/>
      <c r="G135" s="31" t="s">
        <v>29</v>
      </c>
      <c r="H135" s="31"/>
      <c r="I135" s="32"/>
      <c r="J135" s="13"/>
      <c r="L135" s="48"/>
    </row>
    <row r="136" spans="1:12" ht="12.75">
      <c r="A136" s="4"/>
      <c r="B136" s="33" t="s">
        <v>32</v>
      </c>
      <c r="C136" s="23"/>
      <c r="D136" s="23" t="s">
        <v>33</v>
      </c>
      <c r="E136" s="23" t="s">
        <v>34</v>
      </c>
      <c r="F136" s="23" t="s">
        <v>35</v>
      </c>
      <c r="G136" s="33" t="s">
        <v>36</v>
      </c>
      <c r="H136" s="33" t="s">
        <v>37</v>
      </c>
      <c r="I136" s="33" t="s">
        <v>38</v>
      </c>
      <c r="J136" s="23" t="s">
        <v>39</v>
      </c>
      <c r="K136" s="8"/>
      <c r="L136" s="48"/>
    </row>
    <row r="137" spans="1:13" ht="161.25" customHeight="1">
      <c r="A137" s="4"/>
      <c r="B137" s="57" t="s">
        <v>168</v>
      </c>
      <c r="C137" s="25"/>
      <c r="D137" s="25"/>
      <c r="E137" s="25"/>
      <c r="F137" s="25"/>
      <c r="G137" s="24" t="s">
        <v>41</v>
      </c>
      <c r="H137" s="24"/>
      <c r="I137" s="18" t="s">
        <v>169</v>
      </c>
      <c r="J137" s="28">
        <f>HYPERLINK("TelephonyRecord!subscriberID_BillingDetails","subscriberID")</f>
        <v>0</v>
      </c>
      <c r="K137" s="8"/>
      <c r="L137" s="55" t="s">
        <v>86</v>
      </c>
      <c r="M137" s="76" t="s">
        <v>261</v>
      </c>
    </row>
    <row r="138" spans="1:12" ht="13.5">
      <c r="A138" s="4"/>
      <c r="B138" s="57" t="s">
        <v>277</v>
      </c>
      <c r="C138" s="25"/>
      <c r="D138" s="25"/>
      <c r="E138" s="25"/>
      <c r="F138" s="25"/>
      <c r="G138" s="24" t="s">
        <v>41</v>
      </c>
      <c r="H138" s="24"/>
      <c r="I138" s="24" t="s">
        <v>123</v>
      </c>
      <c r="J138" s="25"/>
      <c r="K138" s="8"/>
      <c r="L138" s="55" t="s">
        <v>86</v>
      </c>
    </row>
    <row r="139" spans="1:12" ht="13.5">
      <c r="A139" s="4"/>
      <c r="B139" s="57" t="s">
        <v>252</v>
      </c>
      <c r="C139" s="25"/>
      <c r="D139" s="25"/>
      <c r="E139" s="25"/>
      <c r="F139" s="25"/>
      <c r="G139" s="24" t="s">
        <v>41</v>
      </c>
      <c r="H139" s="24"/>
      <c r="I139" s="27">
        <f>HYPERLINK("TelephonyRecord!ContactDetails_billingAddress","ContactDetails")</f>
        <v>0</v>
      </c>
      <c r="J139" s="25"/>
      <c r="K139" s="8"/>
      <c r="L139" s="55" t="s">
        <v>86</v>
      </c>
    </row>
    <row r="140" spans="1:12" ht="51.75">
      <c r="A140" s="4"/>
      <c r="B140" s="57" t="s">
        <v>278</v>
      </c>
      <c r="C140" s="25"/>
      <c r="D140" s="25"/>
      <c r="E140" s="25"/>
      <c r="F140" s="25"/>
      <c r="G140" s="24" t="s">
        <v>41</v>
      </c>
      <c r="H140" s="24"/>
      <c r="I140" s="24" t="s">
        <v>279</v>
      </c>
      <c r="J140" s="28">
        <f>HYPERLINK("TelephonyRecord!billingIdentifier","BillingIdentifier")</f>
        <v>0</v>
      </c>
      <c r="K140" s="8"/>
      <c r="L140" s="55" t="s">
        <v>86</v>
      </c>
    </row>
    <row r="141" spans="1:12" ht="13.5">
      <c r="A141" s="4"/>
      <c r="B141" s="57" t="s">
        <v>280</v>
      </c>
      <c r="C141" s="25"/>
      <c r="D141" s="25"/>
      <c r="E141" s="25"/>
      <c r="F141" s="25"/>
      <c r="G141" s="24" t="s">
        <v>41</v>
      </c>
      <c r="H141" s="24"/>
      <c r="I141" s="27">
        <f>HYPERLINK("TelephonyRecord!BillingRecords","BillingRecords")</f>
        <v>0</v>
      </c>
      <c r="J141" s="25"/>
      <c r="K141" s="8"/>
      <c r="L141" s="55" t="s">
        <v>86</v>
      </c>
    </row>
    <row r="142" spans="1:12" ht="13.5">
      <c r="A142" s="4"/>
      <c r="B142" s="67" t="s">
        <v>281</v>
      </c>
      <c r="C142" s="26"/>
      <c r="D142" s="26"/>
      <c r="E142" s="26"/>
      <c r="F142" s="26"/>
      <c r="G142" s="26"/>
      <c r="H142" s="26" t="s">
        <v>43</v>
      </c>
      <c r="I142" s="26"/>
      <c r="J142" s="26"/>
      <c r="K142" s="8"/>
      <c r="L142" s="48"/>
    </row>
    <row r="143" spans="2:12" ht="14.25" customHeight="1">
      <c r="B143" s="10"/>
      <c r="C143" s="10"/>
      <c r="D143" s="10"/>
      <c r="E143" s="10"/>
      <c r="F143" s="10"/>
      <c r="G143" s="10"/>
      <c r="H143" s="10"/>
      <c r="I143" s="10"/>
      <c r="J143" s="10"/>
      <c r="L143" s="48"/>
    </row>
    <row r="144" spans="1:12" ht="79.5" customHeight="1">
      <c r="A144" s="4"/>
      <c r="B144" s="36" t="s">
        <v>282</v>
      </c>
      <c r="C144" s="36"/>
      <c r="D144" s="36"/>
      <c r="E144" s="36"/>
      <c r="F144" s="36"/>
      <c r="G144" s="37" t="s">
        <v>52</v>
      </c>
      <c r="H144" s="37"/>
      <c r="I144" s="37"/>
      <c r="J144" s="37"/>
      <c r="K144" s="8"/>
      <c r="L144" s="48"/>
    </row>
    <row r="145" spans="1:12" ht="26.25" customHeight="1">
      <c r="A145" s="4"/>
      <c r="B145" s="38" t="s">
        <v>180</v>
      </c>
      <c r="C145" s="38"/>
      <c r="D145" s="38"/>
      <c r="E145" s="38"/>
      <c r="F145" s="38"/>
      <c r="G145" s="25"/>
      <c r="H145" s="25"/>
      <c r="I145" s="25"/>
      <c r="J145" s="25"/>
      <c r="K145" s="8"/>
      <c r="L145" s="55" t="s">
        <v>86</v>
      </c>
    </row>
    <row r="146" spans="2:12" ht="12.75">
      <c r="B146" s="78"/>
      <c r="C146" s="78"/>
      <c r="D146" s="78"/>
      <c r="E146" s="78"/>
      <c r="F146" s="78"/>
      <c r="G146" s="54"/>
      <c r="H146" s="54"/>
      <c r="I146" s="54"/>
      <c r="J146" s="54"/>
      <c r="L146" s="48"/>
    </row>
    <row r="147" spans="1:12" ht="102" customHeight="1">
      <c r="A147" s="4"/>
      <c r="B147" s="36" t="s">
        <v>283</v>
      </c>
      <c r="C147" s="36"/>
      <c r="D147" s="36"/>
      <c r="E147" s="36"/>
      <c r="F147" s="36"/>
      <c r="G147" s="37" t="s">
        <v>52</v>
      </c>
      <c r="H147" s="37"/>
      <c r="I147" s="37"/>
      <c r="J147" s="37"/>
      <c r="K147" s="8"/>
      <c r="L147" s="48"/>
    </row>
    <row r="148" spans="1:12" ht="26.25" customHeight="1">
      <c r="A148" s="4"/>
      <c r="B148" s="38" t="s">
        <v>284</v>
      </c>
      <c r="C148" s="38"/>
      <c r="D148" s="38"/>
      <c r="E148" s="38"/>
      <c r="F148" s="38"/>
      <c r="G148" s="25"/>
      <c r="H148" s="25"/>
      <c r="I148" s="25"/>
      <c r="J148" s="25"/>
      <c r="K148" s="8"/>
      <c r="L148" s="55" t="s">
        <v>86</v>
      </c>
    </row>
    <row r="149" spans="2:12" ht="14.25" customHeight="1">
      <c r="B149" s="10"/>
      <c r="C149" s="10"/>
      <c r="D149" s="10"/>
      <c r="E149" s="10"/>
      <c r="F149" s="10"/>
      <c r="G149" s="10"/>
      <c r="H149" s="10"/>
      <c r="I149" s="29"/>
      <c r="J149" s="29"/>
      <c r="L149" s="48"/>
    </row>
    <row r="150" spans="1:12" ht="12.75">
      <c r="A150" s="4"/>
      <c r="B150" s="30" t="s">
        <v>285</v>
      </c>
      <c r="C150" s="19" t="s">
        <v>28</v>
      </c>
      <c r="D150" s="19"/>
      <c r="E150" s="19"/>
      <c r="F150" s="19"/>
      <c r="G150" s="31" t="s">
        <v>29</v>
      </c>
      <c r="H150" s="31"/>
      <c r="I150" s="32"/>
      <c r="J150" s="13"/>
      <c r="L150" s="48"/>
    </row>
    <row r="151" spans="1:12" ht="12.75">
      <c r="A151" s="4"/>
      <c r="B151" s="33" t="s">
        <v>32</v>
      </c>
      <c r="C151" s="23"/>
      <c r="D151" s="23" t="s">
        <v>33</v>
      </c>
      <c r="E151" s="23" t="s">
        <v>34</v>
      </c>
      <c r="F151" s="23" t="s">
        <v>35</v>
      </c>
      <c r="G151" s="33" t="s">
        <v>36</v>
      </c>
      <c r="H151" s="33" t="s">
        <v>37</v>
      </c>
      <c r="I151" s="33" t="s">
        <v>38</v>
      </c>
      <c r="J151" s="23" t="s">
        <v>39</v>
      </c>
      <c r="K151" s="8"/>
      <c r="L151" s="48"/>
    </row>
    <row r="152" spans="1:12" ht="12.75">
      <c r="A152" s="4"/>
      <c r="B152" s="63" t="s">
        <v>74</v>
      </c>
      <c r="C152" s="23"/>
      <c r="D152" s="23"/>
      <c r="E152" s="23"/>
      <c r="F152" s="23"/>
      <c r="G152" s="22" t="s">
        <v>41</v>
      </c>
      <c r="H152" s="22"/>
      <c r="I152" s="59">
        <f>HYPERLINK("TelephonyRecord!AddressInformation_billingData","AddressInformation")</f>
        <v>0</v>
      </c>
      <c r="J152" s="23"/>
      <c r="K152" s="8"/>
      <c r="L152" s="55" t="s">
        <v>86</v>
      </c>
    </row>
    <row r="153" spans="1:12" ht="12.75">
      <c r="A153" s="4"/>
      <c r="B153" s="57" t="s">
        <v>76</v>
      </c>
      <c r="C153" s="35"/>
      <c r="D153" s="35"/>
      <c r="E153" s="35"/>
      <c r="F153" s="35"/>
      <c r="G153" s="34" t="s">
        <v>41</v>
      </c>
      <c r="H153" s="22"/>
      <c r="I153" s="22"/>
      <c r="J153" s="23"/>
      <c r="K153" s="8"/>
      <c r="L153" s="55" t="s">
        <v>86</v>
      </c>
    </row>
    <row r="154" spans="1:12" ht="26.25">
      <c r="A154" s="4"/>
      <c r="B154" s="57" t="s">
        <v>78</v>
      </c>
      <c r="C154" s="35"/>
      <c r="D154" s="35"/>
      <c r="E154" s="35"/>
      <c r="F154" s="35"/>
      <c r="G154" s="34" t="s">
        <v>41</v>
      </c>
      <c r="H154" s="22"/>
      <c r="I154" s="24" t="s">
        <v>79</v>
      </c>
      <c r="J154" s="23"/>
      <c r="K154" s="8"/>
      <c r="L154" s="55" t="s">
        <v>86</v>
      </c>
    </row>
    <row r="155" spans="1:12" ht="26.25">
      <c r="A155" s="4"/>
      <c r="B155" s="57" t="s">
        <v>80</v>
      </c>
      <c r="C155" s="35"/>
      <c r="D155" s="35"/>
      <c r="E155" s="35"/>
      <c r="F155" s="35"/>
      <c r="G155" s="34" t="s">
        <v>41</v>
      </c>
      <c r="H155" s="22"/>
      <c r="I155" s="24" t="s">
        <v>81</v>
      </c>
      <c r="J155" s="23"/>
      <c r="K155" s="8"/>
      <c r="L155" s="55" t="s">
        <v>86</v>
      </c>
    </row>
    <row r="156" spans="2:12" ht="14.25" customHeight="1">
      <c r="B156" s="10"/>
      <c r="C156" s="10"/>
      <c r="D156" s="10"/>
      <c r="E156" s="10"/>
      <c r="F156" s="10"/>
      <c r="G156" s="10"/>
      <c r="H156" s="10"/>
      <c r="I156" s="29"/>
      <c r="J156" s="29"/>
      <c r="L156" s="48"/>
    </row>
    <row r="157" spans="1:12" ht="12.75">
      <c r="A157" s="4"/>
      <c r="B157" s="30" t="s">
        <v>83</v>
      </c>
      <c r="C157" s="19" t="s">
        <v>28</v>
      </c>
      <c r="D157" s="19"/>
      <c r="E157" s="19"/>
      <c r="F157" s="19"/>
      <c r="G157" s="31" t="s">
        <v>29</v>
      </c>
      <c r="H157" s="31"/>
      <c r="I157" s="32"/>
      <c r="J157" s="13"/>
      <c r="L157" s="48"/>
    </row>
    <row r="158" spans="1:12" ht="12.75">
      <c r="A158" s="4"/>
      <c r="B158" s="33" t="s">
        <v>32</v>
      </c>
      <c r="C158" s="23"/>
      <c r="D158" s="23" t="s">
        <v>33</v>
      </c>
      <c r="E158" s="23" t="s">
        <v>34</v>
      </c>
      <c r="F158" s="23" t="s">
        <v>35</v>
      </c>
      <c r="G158" s="33" t="s">
        <v>36</v>
      </c>
      <c r="H158" s="33" t="s">
        <v>37</v>
      </c>
      <c r="I158" s="33" t="s">
        <v>38</v>
      </c>
      <c r="J158" s="23" t="s">
        <v>39</v>
      </c>
      <c r="K158" s="8"/>
      <c r="L158" s="48"/>
    </row>
    <row r="159" spans="1:12" ht="12.75">
      <c r="A159" s="4"/>
      <c r="B159" s="57" t="s">
        <v>84</v>
      </c>
      <c r="C159" s="35"/>
      <c r="D159" s="35"/>
      <c r="E159" s="35"/>
      <c r="F159" s="35"/>
      <c r="G159" s="34" t="s">
        <v>41</v>
      </c>
      <c r="H159" s="22"/>
      <c r="I159" s="22"/>
      <c r="J159" s="23"/>
      <c r="K159" s="8"/>
      <c r="L159" s="55" t="s">
        <v>86</v>
      </c>
    </row>
    <row r="160" spans="1:12" ht="12.75">
      <c r="A160" s="4"/>
      <c r="B160" s="57" t="s">
        <v>85</v>
      </c>
      <c r="C160" s="35"/>
      <c r="D160" s="35"/>
      <c r="E160" s="35"/>
      <c r="F160" s="35"/>
      <c r="G160" s="34" t="s">
        <v>41</v>
      </c>
      <c r="H160" s="22"/>
      <c r="I160" s="22"/>
      <c r="J160" s="23"/>
      <c r="K160" s="8"/>
      <c r="L160" s="55" t="s">
        <v>86</v>
      </c>
    </row>
    <row r="161" spans="1:12" ht="12.75">
      <c r="A161" s="4"/>
      <c r="B161" s="57" t="s">
        <v>87</v>
      </c>
      <c r="C161" s="35"/>
      <c r="D161" s="35"/>
      <c r="E161" s="35"/>
      <c r="F161" s="35"/>
      <c r="G161" s="34" t="s">
        <v>41</v>
      </c>
      <c r="H161" s="22"/>
      <c r="I161" s="22"/>
      <c r="J161" s="23"/>
      <c r="K161" s="8"/>
      <c r="L161" s="55" t="s">
        <v>86</v>
      </c>
    </row>
    <row r="162" spans="1:12" ht="12.75">
      <c r="A162" s="4"/>
      <c r="B162" s="57" t="s">
        <v>89</v>
      </c>
      <c r="C162" s="35"/>
      <c r="D162" s="35"/>
      <c r="E162" s="35"/>
      <c r="F162" s="35"/>
      <c r="G162" s="34" t="s">
        <v>41</v>
      </c>
      <c r="H162" s="22"/>
      <c r="I162" s="22"/>
      <c r="J162" s="23"/>
      <c r="K162" s="8"/>
      <c r="L162" s="55" t="s">
        <v>86</v>
      </c>
    </row>
    <row r="163" spans="1:12" ht="12.75">
      <c r="A163" s="4"/>
      <c r="B163" s="57" t="s">
        <v>91</v>
      </c>
      <c r="C163" s="35"/>
      <c r="D163" s="35"/>
      <c r="E163" s="35"/>
      <c r="F163" s="35"/>
      <c r="G163" s="34" t="s">
        <v>41</v>
      </c>
      <c r="H163" s="22"/>
      <c r="I163" s="22"/>
      <c r="J163" s="23"/>
      <c r="K163" s="8"/>
      <c r="L163" s="55" t="s">
        <v>86</v>
      </c>
    </row>
    <row r="164" spans="1:12" ht="12.75">
      <c r="A164" s="4"/>
      <c r="B164" s="57" t="s">
        <v>93</v>
      </c>
      <c r="C164" s="35"/>
      <c r="D164" s="35"/>
      <c r="E164" s="35"/>
      <c r="F164" s="35"/>
      <c r="G164" s="34" t="s">
        <v>41</v>
      </c>
      <c r="H164" s="22"/>
      <c r="I164" s="22" t="s">
        <v>94</v>
      </c>
      <c r="J164" s="23"/>
      <c r="K164" s="8"/>
      <c r="L164" s="55" t="s">
        <v>86</v>
      </c>
    </row>
    <row r="165" spans="1:12" ht="12.75">
      <c r="A165" s="4"/>
      <c r="B165" s="67" t="s">
        <v>95</v>
      </c>
      <c r="C165" s="68"/>
      <c r="D165" s="68"/>
      <c r="E165" s="68"/>
      <c r="F165" s="68"/>
      <c r="G165" s="68"/>
      <c r="H165" s="7" t="s">
        <v>43</v>
      </c>
      <c r="I165" s="7"/>
      <c r="J165" s="7"/>
      <c r="K165" s="8"/>
      <c r="L165" s="55" t="s">
        <v>86</v>
      </c>
    </row>
    <row r="166" spans="1:12" ht="27" customHeight="1">
      <c r="A166" s="4"/>
      <c r="B166" s="57" t="s">
        <v>96</v>
      </c>
      <c r="C166" s="34"/>
      <c r="D166" s="35"/>
      <c r="E166" s="35"/>
      <c r="F166" s="35"/>
      <c r="G166" s="34" t="s">
        <v>41</v>
      </c>
      <c r="H166" s="22"/>
      <c r="I166" s="18" t="s">
        <v>97</v>
      </c>
      <c r="J166" s="23"/>
      <c r="K166" s="8"/>
      <c r="L166" s="55" t="s">
        <v>86</v>
      </c>
    </row>
    <row r="167" spans="1:12" ht="12.75">
      <c r="A167" s="4"/>
      <c r="B167" s="67" t="s">
        <v>99</v>
      </c>
      <c r="C167" s="68"/>
      <c r="D167" s="68"/>
      <c r="E167" s="68"/>
      <c r="F167" s="68"/>
      <c r="G167" s="68"/>
      <c r="H167" s="7" t="s">
        <v>43</v>
      </c>
      <c r="I167" s="7"/>
      <c r="J167" s="7"/>
      <c r="K167" s="8"/>
      <c r="L167" s="48"/>
    </row>
    <row r="168" spans="1:12" ht="12.75">
      <c r="A168" s="4"/>
      <c r="B168" s="57" t="s">
        <v>100</v>
      </c>
      <c r="C168" s="34"/>
      <c r="D168" s="35"/>
      <c r="E168" s="35"/>
      <c r="F168" s="35"/>
      <c r="G168" s="34" t="s">
        <v>41</v>
      </c>
      <c r="H168" s="22"/>
      <c r="I168" s="22"/>
      <c r="J168" s="23"/>
      <c r="K168" s="8"/>
      <c r="L168" s="55" t="s">
        <v>86</v>
      </c>
    </row>
    <row r="169" spans="1:12" ht="12.75">
      <c r="A169" s="4"/>
      <c r="B169" s="57" t="s">
        <v>102</v>
      </c>
      <c r="C169" s="34"/>
      <c r="D169" s="35"/>
      <c r="E169" s="35"/>
      <c r="F169" s="35"/>
      <c r="G169" s="34" t="s">
        <v>41</v>
      </c>
      <c r="H169" s="22"/>
      <c r="I169" s="22"/>
      <c r="J169" s="23"/>
      <c r="K169" s="8"/>
      <c r="L169" s="55" t="s">
        <v>86</v>
      </c>
    </row>
    <row r="170" spans="1:12" ht="12.75">
      <c r="A170" s="4"/>
      <c r="B170" s="57" t="s">
        <v>242</v>
      </c>
      <c r="C170" s="34"/>
      <c r="D170" s="35"/>
      <c r="E170" s="35"/>
      <c r="F170" s="35"/>
      <c r="G170" s="34" t="s">
        <v>41</v>
      </c>
      <c r="H170" s="22"/>
      <c r="I170" s="59">
        <f>HYPERLINK("TelephonyRecord!Telephony_Billing_Address_TimeSpan","TimeSpan")</f>
        <v>0</v>
      </c>
      <c r="J170" s="23"/>
      <c r="K170" s="8"/>
      <c r="L170" s="55" t="s">
        <v>86</v>
      </c>
    </row>
    <row r="171" spans="2:12" ht="14.25" customHeight="1">
      <c r="B171" s="60"/>
      <c r="C171" s="79"/>
      <c r="D171" s="79"/>
      <c r="E171" s="79"/>
      <c r="F171" s="79"/>
      <c r="G171" s="79"/>
      <c r="H171" s="10"/>
      <c r="I171" s="29"/>
      <c r="J171" s="29"/>
      <c r="L171" s="48"/>
    </row>
    <row r="172" spans="1:12" ht="12.75">
      <c r="A172" s="4"/>
      <c r="B172" s="30" t="s">
        <v>231</v>
      </c>
      <c r="C172" s="19" t="s">
        <v>28</v>
      </c>
      <c r="D172" s="19"/>
      <c r="E172" s="19"/>
      <c r="F172" s="19"/>
      <c r="G172" s="31" t="s">
        <v>29</v>
      </c>
      <c r="H172" s="31"/>
      <c r="I172" s="32"/>
      <c r="J172" s="13"/>
      <c r="L172" s="48"/>
    </row>
    <row r="173" spans="1:12" ht="12.75">
      <c r="A173" s="4"/>
      <c r="B173" s="33" t="s">
        <v>32</v>
      </c>
      <c r="C173" s="23"/>
      <c r="D173" s="23" t="s">
        <v>33</v>
      </c>
      <c r="E173" s="23" t="s">
        <v>34</v>
      </c>
      <c r="F173" s="23" t="s">
        <v>35</v>
      </c>
      <c r="G173" s="33" t="s">
        <v>36</v>
      </c>
      <c r="H173" s="33" t="s">
        <v>37</v>
      </c>
      <c r="I173" s="33" t="s">
        <v>38</v>
      </c>
      <c r="J173" s="23" t="s">
        <v>39</v>
      </c>
      <c r="K173" s="8"/>
      <c r="L173" s="48"/>
    </row>
    <row r="174" spans="1:12" ht="13.5">
      <c r="A174" s="4"/>
      <c r="B174" s="57" t="s">
        <v>106</v>
      </c>
      <c r="C174" s="25"/>
      <c r="D174" s="25"/>
      <c r="E174" s="25"/>
      <c r="F174" s="25"/>
      <c r="G174" s="24" t="s">
        <v>41</v>
      </c>
      <c r="H174" s="24"/>
      <c r="I174" s="24"/>
      <c r="J174" s="25"/>
      <c r="K174" s="8"/>
      <c r="L174" s="55" t="s">
        <v>86</v>
      </c>
    </row>
    <row r="175" spans="1:12" ht="13.5">
      <c r="A175" s="4"/>
      <c r="B175" s="57" t="s">
        <v>108</v>
      </c>
      <c r="C175" s="25"/>
      <c r="D175" s="25"/>
      <c r="E175" s="25"/>
      <c r="F175" s="25"/>
      <c r="G175" s="24" t="s">
        <v>41</v>
      </c>
      <c r="H175" s="24"/>
      <c r="I175" s="24"/>
      <c r="J175" s="25"/>
      <c r="K175" s="8"/>
      <c r="L175" s="55" t="s">
        <v>86</v>
      </c>
    </row>
    <row r="176" spans="1:12" ht="13.5">
      <c r="A176" s="4"/>
      <c r="B176" s="67" t="s">
        <v>109</v>
      </c>
      <c r="C176" s="26"/>
      <c r="D176" s="26"/>
      <c r="E176" s="26"/>
      <c r="F176" s="26"/>
      <c r="G176" s="26"/>
      <c r="H176" s="26" t="s">
        <v>43</v>
      </c>
      <c r="I176" s="26"/>
      <c r="J176" s="26"/>
      <c r="K176" s="8"/>
      <c r="L176" s="48"/>
    </row>
    <row r="177" spans="2:12" ht="14.25" customHeight="1">
      <c r="B177" s="10"/>
      <c r="C177" s="10"/>
      <c r="D177" s="10"/>
      <c r="E177" s="10"/>
      <c r="F177" s="10"/>
      <c r="G177" s="10"/>
      <c r="H177" s="10"/>
      <c r="I177" s="29"/>
      <c r="J177" s="29"/>
      <c r="L177" s="48"/>
    </row>
    <row r="178" spans="1:12" ht="12.75">
      <c r="A178" s="4"/>
      <c r="B178" s="30" t="s">
        <v>286</v>
      </c>
      <c r="C178" s="19" t="s">
        <v>28</v>
      </c>
      <c r="D178" s="19"/>
      <c r="E178" s="19"/>
      <c r="F178" s="19"/>
      <c r="G178" s="31" t="s">
        <v>29</v>
      </c>
      <c r="H178" s="31"/>
      <c r="I178" s="32"/>
      <c r="J178" s="13"/>
      <c r="L178" s="48"/>
    </row>
    <row r="179" spans="1:12" ht="12.75">
      <c r="A179" s="4"/>
      <c r="B179" s="33" t="s">
        <v>32</v>
      </c>
      <c r="C179" s="23"/>
      <c r="D179" s="23" t="s">
        <v>33</v>
      </c>
      <c r="E179" s="23" t="s">
        <v>34</v>
      </c>
      <c r="F179" s="23" t="s">
        <v>35</v>
      </c>
      <c r="G179" s="33" t="s">
        <v>36</v>
      </c>
      <c r="H179" s="33" t="s">
        <v>37</v>
      </c>
      <c r="I179" s="33" t="s">
        <v>38</v>
      </c>
      <c r="J179" s="23" t="s">
        <v>39</v>
      </c>
      <c r="K179" s="8"/>
      <c r="L179" s="48"/>
    </row>
    <row r="180" spans="1:12" ht="13.5">
      <c r="A180" s="4"/>
      <c r="B180" s="57" t="s">
        <v>287</v>
      </c>
      <c r="C180" s="35"/>
      <c r="D180" s="35"/>
      <c r="E180" s="35"/>
      <c r="F180" s="35"/>
      <c r="G180" s="34" t="s">
        <v>41</v>
      </c>
      <c r="H180" s="22"/>
      <c r="I180" s="22" t="s">
        <v>115</v>
      </c>
      <c r="J180" s="23"/>
      <c r="K180" s="8"/>
      <c r="L180" s="55" t="s">
        <v>86</v>
      </c>
    </row>
    <row r="181" spans="1:12" ht="12.75">
      <c r="A181" s="4"/>
      <c r="B181" s="57" t="s">
        <v>288</v>
      </c>
      <c r="C181" s="35"/>
      <c r="D181" s="35"/>
      <c r="E181" s="35"/>
      <c r="F181" s="35"/>
      <c r="G181" s="34" t="s">
        <v>41</v>
      </c>
      <c r="H181" s="22"/>
      <c r="I181" s="22" t="s">
        <v>123</v>
      </c>
      <c r="J181" s="23"/>
      <c r="K181" s="8"/>
      <c r="L181" s="55" t="s">
        <v>86</v>
      </c>
    </row>
    <row r="182" spans="1:12" ht="12.75">
      <c r="A182" s="4"/>
      <c r="B182" s="57" t="s">
        <v>289</v>
      </c>
      <c r="C182" s="35"/>
      <c r="D182" s="35"/>
      <c r="E182" s="35"/>
      <c r="F182" s="35"/>
      <c r="G182" s="34" t="s">
        <v>41</v>
      </c>
      <c r="H182" s="22"/>
      <c r="I182" s="22" t="s">
        <v>290</v>
      </c>
      <c r="J182" s="23"/>
      <c r="K182" s="8"/>
      <c r="L182" s="55" t="s">
        <v>86</v>
      </c>
    </row>
    <row r="183" spans="1:12" ht="12.75">
      <c r="A183" s="4"/>
      <c r="B183" s="57" t="s">
        <v>291</v>
      </c>
      <c r="C183" s="35"/>
      <c r="D183" s="35"/>
      <c r="E183" s="35"/>
      <c r="F183" s="35"/>
      <c r="G183" s="34" t="s">
        <v>41</v>
      </c>
      <c r="H183" s="22"/>
      <c r="I183" s="22" t="s">
        <v>123</v>
      </c>
      <c r="J183" s="23"/>
      <c r="K183" s="8"/>
      <c r="L183" s="55" t="s">
        <v>86</v>
      </c>
    </row>
    <row r="184" spans="1:12" ht="13.5">
      <c r="A184" s="4"/>
      <c r="B184" s="57" t="s">
        <v>292</v>
      </c>
      <c r="C184" s="35"/>
      <c r="D184" s="35"/>
      <c r="E184" s="35"/>
      <c r="F184" s="35"/>
      <c r="G184" s="34" t="s">
        <v>41</v>
      </c>
      <c r="H184" s="22"/>
      <c r="I184" s="22" t="s">
        <v>293</v>
      </c>
      <c r="J184" s="23"/>
      <c r="K184" s="8"/>
      <c r="L184" s="55" t="s">
        <v>86</v>
      </c>
    </row>
    <row r="185" spans="1:12" ht="12.75">
      <c r="A185" s="4"/>
      <c r="B185" s="67" t="s">
        <v>294</v>
      </c>
      <c r="C185" s="68"/>
      <c r="D185" s="68"/>
      <c r="E185" s="68"/>
      <c r="F185" s="68"/>
      <c r="G185" s="68"/>
      <c r="H185" s="7" t="s">
        <v>43</v>
      </c>
      <c r="I185" s="7"/>
      <c r="J185" s="7"/>
      <c r="K185" s="8"/>
      <c r="L185" s="48"/>
    </row>
    <row r="186" spans="1:12" ht="186" customHeight="1">
      <c r="A186" s="4"/>
      <c r="B186" s="80" t="s">
        <v>295</v>
      </c>
      <c r="C186" s="81"/>
      <c r="D186" s="81"/>
      <c r="E186" s="81"/>
      <c r="F186" s="81"/>
      <c r="G186" s="81"/>
      <c r="H186" s="81" t="s">
        <v>59</v>
      </c>
      <c r="I186" s="45" t="s">
        <v>296</v>
      </c>
      <c r="J186" s="44"/>
      <c r="K186" s="8"/>
      <c r="L186" s="55" t="s">
        <v>86</v>
      </c>
    </row>
    <row r="187" spans="1:12" ht="165.75">
      <c r="A187" s="4"/>
      <c r="B187" s="80" t="s">
        <v>297</v>
      </c>
      <c r="C187" s="81"/>
      <c r="D187" s="81"/>
      <c r="E187" s="81"/>
      <c r="F187" s="81"/>
      <c r="G187" s="81"/>
      <c r="H187" s="81" t="s">
        <v>59</v>
      </c>
      <c r="I187" s="45" t="s">
        <v>296</v>
      </c>
      <c r="J187" s="44"/>
      <c r="K187" s="8"/>
      <c r="L187" s="55" t="s">
        <v>86</v>
      </c>
    </row>
    <row r="188" spans="2:12" ht="14.25" customHeight="1">
      <c r="B188" s="29"/>
      <c r="C188" s="29"/>
      <c r="D188" s="29"/>
      <c r="E188" s="29"/>
      <c r="F188" s="29"/>
      <c r="G188" s="29"/>
      <c r="H188" s="29"/>
      <c r="I188" s="29"/>
      <c r="J188" s="29"/>
      <c r="L188" s="48"/>
    </row>
    <row r="189" spans="1:12" ht="12.75">
      <c r="A189" s="50" t="s">
        <v>298</v>
      </c>
      <c r="B189" s="50"/>
      <c r="C189" s="51"/>
      <c r="D189" s="51"/>
      <c r="E189" s="51"/>
      <c r="F189" s="51"/>
      <c r="G189" s="51"/>
      <c r="H189" s="51"/>
      <c r="I189" s="51"/>
      <c r="J189" s="51"/>
      <c r="L189" s="48"/>
    </row>
    <row r="190" spans="2:12" ht="14.25" customHeight="1">
      <c r="B190" s="3"/>
      <c r="C190" s="3"/>
      <c r="D190" s="3"/>
      <c r="E190" s="3"/>
      <c r="F190" s="3"/>
      <c r="G190" s="3"/>
      <c r="H190" s="3"/>
      <c r="I190" s="3"/>
      <c r="J190" s="3"/>
      <c r="L190" s="48"/>
    </row>
    <row r="191" spans="1:12" ht="57" customHeight="1">
      <c r="A191" s="4"/>
      <c r="B191" s="82" t="s">
        <v>299</v>
      </c>
      <c r="C191" s="82"/>
      <c r="D191" s="82"/>
      <c r="E191" s="82"/>
      <c r="F191" s="82"/>
      <c r="G191" s="83" t="s">
        <v>300</v>
      </c>
      <c r="H191" s="83"/>
      <c r="I191" s="83"/>
      <c r="J191" s="83"/>
      <c r="K191" s="8"/>
      <c r="L191" s="48"/>
    </row>
    <row r="192" spans="1:13" ht="13.5">
      <c r="A192" s="4"/>
      <c r="B192" s="84" t="s">
        <v>301</v>
      </c>
      <c r="C192" s="84"/>
      <c r="D192" s="84"/>
      <c r="E192" s="84"/>
      <c r="F192" s="84"/>
      <c r="G192" s="64"/>
      <c r="H192" s="64"/>
      <c r="I192" s="64"/>
      <c r="J192" s="64"/>
      <c r="K192" s="8"/>
      <c r="L192" s="48"/>
      <c r="M192" s="76" t="s">
        <v>302</v>
      </c>
    </row>
    <row r="193" spans="2:12" ht="14.25" customHeight="1">
      <c r="B193" s="10"/>
      <c r="C193" s="10"/>
      <c r="D193" s="10"/>
      <c r="E193" s="10"/>
      <c r="F193" s="10"/>
      <c r="G193" s="10"/>
      <c r="H193" s="10"/>
      <c r="I193" s="29"/>
      <c r="J193" s="29"/>
      <c r="L193" s="48"/>
    </row>
    <row r="194" spans="1:12" ht="12.75">
      <c r="A194" s="4"/>
      <c r="B194" s="30" t="s">
        <v>303</v>
      </c>
      <c r="C194" s="19" t="s">
        <v>28</v>
      </c>
      <c r="D194" s="19"/>
      <c r="E194" s="19"/>
      <c r="F194" s="19"/>
      <c r="G194" s="31" t="s">
        <v>29</v>
      </c>
      <c r="H194" s="31"/>
      <c r="I194" s="32"/>
      <c r="J194" s="13"/>
      <c r="L194" s="48"/>
    </row>
    <row r="195" spans="1:12" ht="12.75">
      <c r="A195" s="4"/>
      <c r="B195" s="33" t="s">
        <v>32</v>
      </c>
      <c r="C195" s="23"/>
      <c r="D195" s="23" t="s">
        <v>33</v>
      </c>
      <c r="E195" s="23" t="s">
        <v>34</v>
      </c>
      <c r="F195" s="23" t="s">
        <v>35</v>
      </c>
      <c r="G195" s="33" t="s">
        <v>36</v>
      </c>
      <c r="H195" s="33" t="s">
        <v>37</v>
      </c>
      <c r="I195" s="33" t="s">
        <v>38</v>
      </c>
      <c r="J195" s="23" t="s">
        <v>39</v>
      </c>
      <c r="K195" s="8"/>
      <c r="L195" s="48"/>
    </row>
    <row r="196" spans="1:12" ht="12.75">
      <c r="A196" s="4"/>
      <c r="B196" s="57" t="s">
        <v>304</v>
      </c>
      <c r="C196" s="35"/>
      <c r="D196" s="35"/>
      <c r="E196" s="35"/>
      <c r="F196" s="35"/>
      <c r="G196" s="34" t="s">
        <v>41</v>
      </c>
      <c r="H196" s="22"/>
      <c r="I196" s="59">
        <f>HYPERLINK("TelephonyRecord!TelephonyPartyInformation","TelephonyPartyInformation")</f>
        <v>0</v>
      </c>
      <c r="J196" s="23"/>
      <c r="K196" s="8"/>
      <c r="L196" s="48" t="s">
        <v>305</v>
      </c>
    </row>
    <row r="197" spans="1:12" ht="12.75">
      <c r="A197" s="4"/>
      <c r="B197" s="57" t="s">
        <v>306</v>
      </c>
      <c r="C197" s="35"/>
      <c r="D197" s="35"/>
      <c r="E197" s="35"/>
      <c r="F197" s="35"/>
      <c r="G197" s="34" t="s">
        <v>41</v>
      </c>
      <c r="H197" s="22"/>
      <c r="I197" s="59">
        <f>HYPERLINK("TelephonyRecord!TimeSpan_CommunicationTime","TimeSpan")</f>
        <v>0</v>
      </c>
      <c r="J197" s="23"/>
      <c r="K197" s="8"/>
      <c r="L197" s="48" t="s">
        <v>189</v>
      </c>
    </row>
    <row r="198" spans="1:12" ht="12.75">
      <c r="A198" s="4"/>
      <c r="B198" s="67" t="s">
        <v>307</v>
      </c>
      <c r="C198" s="68"/>
      <c r="D198" s="68"/>
      <c r="E198" s="68"/>
      <c r="F198" s="68"/>
      <c r="G198" s="68"/>
      <c r="H198" s="7" t="s">
        <v>43</v>
      </c>
      <c r="I198" s="7"/>
      <c r="J198" s="7"/>
      <c r="K198" s="8"/>
      <c r="L198" s="48"/>
    </row>
    <row r="199" spans="1:12" ht="12.75">
      <c r="A199" s="4"/>
      <c r="B199" s="67" t="s">
        <v>308</v>
      </c>
      <c r="C199" s="68"/>
      <c r="D199" s="68"/>
      <c r="E199" s="68"/>
      <c r="F199" s="68"/>
      <c r="G199" s="68"/>
      <c r="H199" s="7" t="s">
        <v>43</v>
      </c>
      <c r="I199" s="7"/>
      <c r="J199" s="7"/>
      <c r="K199" s="8"/>
      <c r="L199" s="48"/>
    </row>
    <row r="200" spans="1:12" ht="12.75">
      <c r="A200" s="4"/>
      <c r="B200" s="57" t="s">
        <v>309</v>
      </c>
      <c r="C200" s="34"/>
      <c r="D200" s="35"/>
      <c r="E200" s="35"/>
      <c r="F200" s="35"/>
      <c r="G200" s="34" t="s">
        <v>41</v>
      </c>
      <c r="H200" s="22"/>
      <c r="I200" s="59">
        <f>HYPERLINK("TelephonyRecord!TelephonyCommunicationType","TelephonyCommunicationType")</f>
        <v>0</v>
      </c>
      <c r="J200" s="23"/>
      <c r="K200" s="8"/>
      <c r="L200" s="48" t="s">
        <v>310</v>
      </c>
    </row>
    <row r="201" spans="1:12" ht="12.75">
      <c r="A201" s="4"/>
      <c r="B201" s="57" t="s">
        <v>311</v>
      </c>
      <c r="C201" s="34"/>
      <c r="D201" s="35"/>
      <c r="E201" s="35"/>
      <c r="F201" s="35"/>
      <c r="G201" s="34" t="s">
        <v>41</v>
      </c>
      <c r="H201" s="22"/>
      <c r="I201" s="59">
        <f>HYPERLINK("TelephonyRecord!TelephonyBearerService","TelephonyBearerService")</f>
        <v>0</v>
      </c>
      <c r="J201" s="23"/>
      <c r="K201" s="8"/>
      <c r="L201" s="48" t="s">
        <v>312</v>
      </c>
    </row>
    <row r="202" spans="1:12" ht="12.75">
      <c r="A202" s="4"/>
      <c r="B202" s="57" t="s">
        <v>313</v>
      </c>
      <c r="C202" s="34"/>
      <c r="D202" s="35"/>
      <c r="E202" s="35"/>
      <c r="F202" s="35"/>
      <c r="G202" s="34" t="s">
        <v>41</v>
      </c>
      <c r="H202" s="22"/>
      <c r="I202" s="59">
        <f>HYPERLINK("TelephonyRecord!SmsInformation","SmsInformation")</f>
        <v>0</v>
      </c>
      <c r="J202" s="23"/>
      <c r="K202" s="8"/>
      <c r="L202" s="48" t="s">
        <v>314</v>
      </c>
    </row>
    <row r="203" spans="1:12" ht="12.75">
      <c r="A203" s="4"/>
      <c r="B203" s="67" t="s">
        <v>315</v>
      </c>
      <c r="C203" s="68"/>
      <c r="D203" s="68"/>
      <c r="E203" s="68"/>
      <c r="F203" s="68"/>
      <c r="G203" s="68"/>
      <c r="H203" s="7" t="s">
        <v>43</v>
      </c>
      <c r="I203" s="7"/>
      <c r="J203" s="7"/>
      <c r="K203" s="8"/>
      <c r="L203" s="48"/>
    </row>
    <row r="204" spans="1:12" ht="12.75">
      <c r="A204" s="4"/>
      <c r="B204" s="57" t="s">
        <v>316</v>
      </c>
      <c r="C204" s="34"/>
      <c r="D204" s="35"/>
      <c r="E204" s="35"/>
      <c r="F204" s="35"/>
      <c r="G204" s="34" t="s">
        <v>41</v>
      </c>
      <c r="H204" s="22"/>
      <c r="I204" s="59">
        <f>HYPERLINK("TelephonyRecord!MmsInformation","MmsInformation")</f>
        <v>0</v>
      </c>
      <c r="J204" s="23"/>
      <c r="K204" s="8"/>
      <c r="L204" s="48" t="s">
        <v>317</v>
      </c>
    </row>
    <row r="205" spans="1:12" ht="12.75">
      <c r="A205" s="4"/>
      <c r="B205" s="67" t="s">
        <v>318</v>
      </c>
      <c r="C205" s="68"/>
      <c r="D205" s="68"/>
      <c r="E205" s="68"/>
      <c r="F205" s="68"/>
      <c r="G205" s="68"/>
      <c r="H205" s="7" t="s">
        <v>43</v>
      </c>
      <c r="I205" s="7"/>
      <c r="J205" s="7"/>
      <c r="K205" s="8"/>
      <c r="L205" s="48"/>
    </row>
    <row r="206" spans="2:12" ht="14.25" customHeight="1">
      <c r="B206" s="10"/>
      <c r="C206" s="10"/>
      <c r="D206" s="10"/>
      <c r="E206" s="10"/>
      <c r="F206" s="10"/>
      <c r="G206" s="10"/>
      <c r="H206" s="10"/>
      <c r="I206" s="29"/>
      <c r="J206" s="29"/>
      <c r="L206" s="48"/>
    </row>
    <row r="207" spans="1:12" ht="12.75">
      <c r="A207" s="4"/>
      <c r="B207" s="30" t="s">
        <v>319</v>
      </c>
      <c r="C207" s="19" t="s">
        <v>28</v>
      </c>
      <c r="D207" s="19"/>
      <c r="E207" s="19"/>
      <c r="F207" s="19"/>
      <c r="G207" s="31" t="s">
        <v>29</v>
      </c>
      <c r="H207" s="31"/>
      <c r="I207" s="32"/>
      <c r="J207" s="13"/>
      <c r="L207" s="48"/>
    </row>
    <row r="208" spans="1:12" ht="12.75">
      <c r="A208" s="4"/>
      <c r="B208" s="33" t="s">
        <v>32</v>
      </c>
      <c r="C208" s="23"/>
      <c r="D208" s="23" t="s">
        <v>33</v>
      </c>
      <c r="E208" s="23" t="s">
        <v>34</v>
      </c>
      <c r="F208" s="23" t="s">
        <v>35</v>
      </c>
      <c r="G208" s="33" t="s">
        <v>36</v>
      </c>
      <c r="H208" s="33" t="s">
        <v>37</v>
      </c>
      <c r="I208" s="33" t="s">
        <v>38</v>
      </c>
      <c r="J208" s="23" t="s">
        <v>39</v>
      </c>
      <c r="K208" s="8"/>
      <c r="L208" s="48"/>
    </row>
    <row r="209" spans="1:12" ht="12.75">
      <c r="A209" s="4"/>
      <c r="B209" s="57" t="s">
        <v>320</v>
      </c>
      <c r="C209" s="35"/>
      <c r="D209" s="35"/>
      <c r="E209" s="35"/>
      <c r="F209" s="35"/>
      <c r="G209" s="34" t="s">
        <v>41</v>
      </c>
      <c r="H209" s="22"/>
      <c r="I209" s="59">
        <f>HYPERLINK("TelephonyRecord!TelephonyPartyRole","TelephonyPartyRole")</f>
        <v>0</v>
      </c>
      <c r="J209" s="23"/>
      <c r="K209" s="8"/>
      <c r="L209" s="48" t="s">
        <v>321</v>
      </c>
    </row>
    <row r="210" spans="1:12" ht="13.5">
      <c r="A210" s="4"/>
      <c r="B210" s="57" t="s">
        <v>322</v>
      </c>
      <c r="C210" s="35"/>
      <c r="D210" s="35"/>
      <c r="E210" s="35"/>
      <c r="F210" s="35"/>
      <c r="G210" s="34" t="s">
        <v>41</v>
      </c>
      <c r="H210" s="22"/>
      <c r="I210" s="22" t="s">
        <v>323</v>
      </c>
      <c r="J210" s="85">
        <f>HYPERLINK("TelephonyRecord!PartyNumber_Tel_Service_Usage","PartyNumber")</f>
        <v>0</v>
      </c>
      <c r="K210" s="8"/>
      <c r="L210" s="55">
        <v>41798967854</v>
      </c>
    </row>
    <row r="211" spans="1:12" ht="102.75" customHeight="1">
      <c r="A211" s="86"/>
      <c r="B211" s="57" t="s">
        <v>324</v>
      </c>
      <c r="C211" s="35"/>
      <c r="D211" s="35"/>
      <c r="E211" s="35"/>
      <c r="F211" s="35"/>
      <c r="G211" s="34" t="s">
        <v>41</v>
      </c>
      <c r="H211" s="22"/>
      <c r="I211" s="24" t="s">
        <v>325</v>
      </c>
      <c r="J211" s="87">
        <f>HYPERLINK("TelephonyRecord!subscriberID_Tel_Service_Usage","subscriberID")</f>
        <v>0</v>
      </c>
      <c r="K211" s="8"/>
      <c r="L211" s="76" t="s">
        <v>170</v>
      </c>
    </row>
    <row r="212" spans="1:13" ht="189" customHeight="1">
      <c r="A212" s="86"/>
      <c r="B212" s="57" t="s">
        <v>326</v>
      </c>
      <c r="C212" s="35"/>
      <c r="D212" s="35"/>
      <c r="E212" s="35"/>
      <c r="F212" s="35"/>
      <c r="G212" s="34" t="s">
        <v>41</v>
      </c>
      <c r="H212" s="22"/>
      <c r="I212" s="24" t="s">
        <v>327</v>
      </c>
      <c r="J212" s="23"/>
      <c r="K212" s="8"/>
      <c r="L212" s="55">
        <v>354891050704784</v>
      </c>
      <c r="M212" s="76" t="s">
        <v>328</v>
      </c>
    </row>
    <row r="213" spans="1:12" ht="26.25">
      <c r="A213" s="4"/>
      <c r="B213" s="57" t="s">
        <v>329</v>
      </c>
      <c r="C213" s="35"/>
      <c r="D213" s="35"/>
      <c r="E213" s="35"/>
      <c r="F213" s="35"/>
      <c r="G213" s="34" t="s">
        <v>41</v>
      </c>
      <c r="H213" s="22"/>
      <c r="I213" s="59">
        <f>HYPERLINK("TelephonyRecord!TelephonyLocation","TelephonyLocation")</f>
        <v>0</v>
      </c>
      <c r="J213" s="88" t="s">
        <v>216</v>
      </c>
      <c r="K213" s="8"/>
      <c r="L213" s="48" t="s">
        <v>330</v>
      </c>
    </row>
    <row r="214" spans="1:12" ht="26.25">
      <c r="A214" s="4"/>
      <c r="B214" s="57" t="s">
        <v>331</v>
      </c>
      <c r="C214" s="35"/>
      <c r="D214" s="35"/>
      <c r="E214" s="35"/>
      <c r="F214" s="35"/>
      <c r="G214" s="34" t="s">
        <v>41</v>
      </c>
      <c r="H214" s="22"/>
      <c r="I214" s="59">
        <f>HYPERLINK("TelephonyRecord!CommunicationTime_Tel_Service_Usage","CommunicationTime")</f>
        <v>0</v>
      </c>
      <c r="J214" s="88" t="s">
        <v>216</v>
      </c>
      <c r="K214" s="8"/>
      <c r="L214" s="48" t="s">
        <v>332</v>
      </c>
    </row>
    <row r="215" spans="1:13" ht="131.25" customHeight="1">
      <c r="A215" s="4"/>
      <c r="B215" s="57" t="s">
        <v>333</v>
      </c>
      <c r="C215" s="35"/>
      <c r="D215" s="35"/>
      <c r="E215" s="35"/>
      <c r="F215" s="35"/>
      <c r="G215" s="34" t="s">
        <v>41</v>
      </c>
      <c r="H215" s="22"/>
      <c r="I215" s="24" t="s">
        <v>334</v>
      </c>
      <c r="J215" s="23"/>
      <c r="K215" s="8"/>
      <c r="L215" s="66" t="s">
        <v>335</v>
      </c>
      <c r="M215" s="76" t="s">
        <v>194</v>
      </c>
    </row>
    <row r="216" spans="1:13" ht="12.75">
      <c r="A216" s="4"/>
      <c r="B216" s="57" t="s">
        <v>336</v>
      </c>
      <c r="C216" s="35"/>
      <c r="D216" s="35"/>
      <c r="E216" s="35"/>
      <c r="F216" s="35"/>
      <c r="G216" s="34" t="s">
        <v>41</v>
      </c>
      <c r="H216" s="22"/>
      <c r="I216" s="22" t="s">
        <v>203</v>
      </c>
      <c r="J216" s="23"/>
      <c r="K216" s="8"/>
      <c r="L216" s="55" t="s">
        <v>337</v>
      </c>
      <c r="M216" s="47">
        <f>HYPERLINK("http://de.wikipedia.org/wiki/International_Mobile_Subscriber_Identity","http://de.wikipedia.org/wiki/International_Mobile_Subscriber_Identity")</f>
        <v>0</v>
      </c>
    </row>
    <row r="217" spans="1:12" ht="26.25">
      <c r="A217" s="4"/>
      <c r="B217" s="57" t="s">
        <v>338</v>
      </c>
      <c r="C217" s="35"/>
      <c r="D217" s="35"/>
      <c r="E217" s="35"/>
      <c r="F217" s="35"/>
      <c r="G217" s="34" t="s">
        <v>41</v>
      </c>
      <c r="H217" s="22"/>
      <c r="I217" s="24" t="s">
        <v>339</v>
      </c>
      <c r="J217" s="23"/>
      <c r="K217" s="8"/>
      <c r="L217" s="48" t="s">
        <v>340</v>
      </c>
    </row>
    <row r="218" spans="1:12" ht="12.75">
      <c r="A218" s="4"/>
      <c r="B218" s="57" t="s">
        <v>341</v>
      </c>
      <c r="C218" s="35"/>
      <c r="D218" s="35"/>
      <c r="E218" s="35"/>
      <c r="F218" s="35"/>
      <c r="G218" s="34" t="s">
        <v>41</v>
      </c>
      <c r="H218" s="22"/>
      <c r="I218" s="22"/>
      <c r="J218" s="23"/>
      <c r="K218" s="8"/>
      <c r="L218" s="48" t="s">
        <v>86</v>
      </c>
    </row>
    <row r="219" spans="1:12" ht="12.75">
      <c r="A219" s="4"/>
      <c r="B219" s="57" t="s">
        <v>342</v>
      </c>
      <c r="C219" s="35"/>
      <c r="D219" s="35"/>
      <c r="E219" s="35"/>
      <c r="F219" s="35"/>
      <c r="G219" s="34" t="s">
        <v>41</v>
      </c>
      <c r="H219" s="22"/>
      <c r="I219" s="22"/>
      <c r="J219" s="23"/>
      <c r="K219" s="8"/>
      <c r="L219" s="48" t="s">
        <v>86</v>
      </c>
    </row>
    <row r="220" spans="1:13" ht="26.25">
      <c r="A220" s="4"/>
      <c r="B220" s="57" t="s">
        <v>343</v>
      </c>
      <c r="C220" s="35"/>
      <c r="D220" s="35"/>
      <c r="E220" s="35"/>
      <c r="F220" s="35"/>
      <c r="G220" s="34" t="s">
        <v>41</v>
      </c>
      <c r="H220" s="22"/>
      <c r="I220" s="24" t="s">
        <v>344</v>
      </c>
      <c r="J220" s="23"/>
      <c r="K220" s="8"/>
      <c r="L220" s="48" t="s">
        <v>86</v>
      </c>
      <c r="M220" s="76" t="s">
        <v>345</v>
      </c>
    </row>
    <row r="221" spans="1:12" ht="12.75">
      <c r="A221" s="4"/>
      <c r="B221" s="57" t="s">
        <v>346</v>
      </c>
      <c r="C221" s="35"/>
      <c r="D221" s="35"/>
      <c r="E221" s="35"/>
      <c r="F221" s="35"/>
      <c r="G221" s="34" t="s">
        <v>41</v>
      </c>
      <c r="H221" s="22"/>
      <c r="I221" s="22" t="s">
        <v>219</v>
      </c>
      <c r="J221" s="23"/>
      <c r="K221" s="8"/>
      <c r="L221" s="55">
        <v>355311050704977</v>
      </c>
    </row>
    <row r="222" spans="1:12" ht="12.75">
      <c r="A222" s="4"/>
      <c r="B222" s="57" t="s">
        <v>347</v>
      </c>
      <c r="C222" s="35"/>
      <c r="D222" s="35"/>
      <c r="E222" s="35"/>
      <c r="F222" s="35"/>
      <c r="G222" s="34" t="s">
        <v>41</v>
      </c>
      <c r="H222" s="22"/>
      <c r="I222" s="59">
        <f>HYPERLINK("TelephonyRecord!TelephonyNetworkElement_Tel_Service_Usage","TelephonyNetworkElement")</f>
        <v>0</v>
      </c>
      <c r="J222" s="23"/>
      <c r="K222" s="8"/>
      <c r="L222" s="48" t="s">
        <v>348</v>
      </c>
    </row>
    <row r="223" spans="1:12" ht="16.5" customHeight="1">
      <c r="A223" s="4"/>
      <c r="B223" s="67" t="s">
        <v>349</v>
      </c>
      <c r="C223" s="68"/>
      <c r="D223" s="68"/>
      <c r="E223" s="68"/>
      <c r="F223" s="68"/>
      <c r="G223" s="68"/>
      <c r="H223" s="7" t="s">
        <v>43</v>
      </c>
      <c r="I223" s="7"/>
      <c r="J223" s="7"/>
      <c r="K223" s="8"/>
      <c r="L223" s="48"/>
    </row>
    <row r="224" spans="1:13" ht="12.75">
      <c r="A224" s="4"/>
      <c r="B224" s="57" t="s">
        <v>350</v>
      </c>
      <c r="C224" s="34"/>
      <c r="D224" s="35"/>
      <c r="E224" s="35"/>
      <c r="F224" s="35"/>
      <c r="G224" s="34" t="s">
        <v>41</v>
      </c>
      <c r="H224" s="22"/>
      <c r="I224" s="22"/>
      <c r="J224" s="23"/>
      <c r="K224" s="8"/>
      <c r="L224" s="48" t="s">
        <v>86</v>
      </c>
      <c r="M224" s="76" t="s">
        <v>351</v>
      </c>
    </row>
    <row r="225" spans="1:13" ht="177.75" customHeight="1">
      <c r="A225" s="4"/>
      <c r="B225" s="67" t="s">
        <v>352</v>
      </c>
      <c r="C225" s="68"/>
      <c r="D225" s="68"/>
      <c r="E225" s="68"/>
      <c r="F225" s="68"/>
      <c r="G225" s="68"/>
      <c r="H225" s="21" t="s">
        <v>43</v>
      </c>
      <c r="I225" s="26" t="s">
        <v>353</v>
      </c>
      <c r="J225" s="7"/>
      <c r="K225" s="8"/>
      <c r="L225" s="48"/>
      <c r="M225" s="76" t="s">
        <v>354</v>
      </c>
    </row>
    <row r="226" spans="2:12" ht="14.25" customHeight="1">
      <c r="B226" s="60"/>
      <c r="C226" s="79"/>
      <c r="D226" s="79"/>
      <c r="E226" s="79"/>
      <c r="F226" s="79"/>
      <c r="G226" s="79"/>
      <c r="H226" s="10"/>
      <c r="I226" s="10"/>
      <c r="J226" s="10"/>
      <c r="L226" s="48"/>
    </row>
    <row r="227" spans="1:12" ht="45.75" customHeight="1">
      <c r="A227" s="4"/>
      <c r="B227" s="36" t="s">
        <v>355</v>
      </c>
      <c r="C227" s="36"/>
      <c r="D227" s="36"/>
      <c r="E227" s="36"/>
      <c r="F227" s="36"/>
      <c r="G227" s="37" t="s">
        <v>356</v>
      </c>
      <c r="H227" s="37"/>
      <c r="I227" s="37"/>
      <c r="J227" s="37"/>
      <c r="K227" s="8"/>
      <c r="L227" s="48"/>
    </row>
    <row r="228" spans="1:12" ht="26.25" customHeight="1">
      <c r="A228" s="4"/>
      <c r="B228" s="38" t="s">
        <v>357</v>
      </c>
      <c r="C228" s="38"/>
      <c r="D228" s="38"/>
      <c r="E228" s="38"/>
      <c r="F228" s="38"/>
      <c r="G228" s="25"/>
      <c r="H228" s="25"/>
      <c r="I228" s="25"/>
      <c r="J228" s="25"/>
      <c r="K228" s="8"/>
      <c r="L228" s="48"/>
    </row>
    <row r="229" spans="2:12" ht="12.75">
      <c r="B229" s="78"/>
      <c r="C229" s="78"/>
      <c r="D229" s="78"/>
      <c r="E229" s="78"/>
      <c r="F229" s="78"/>
      <c r="G229" s="54"/>
      <c r="H229" s="54"/>
      <c r="I229" s="54"/>
      <c r="J229" s="54"/>
      <c r="L229" s="48"/>
    </row>
    <row r="230" spans="1:13" ht="68.25" customHeight="1">
      <c r="A230" s="4"/>
      <c r="B230" s="36" t="s">
        <v>358</v>
      </c>
      <c r="C230" s="36"/>
      <c r="D230" s="36"/>
      <c r="E230" s="36"/>
      <c r="F230" s="36"/>
      <c r="G230" s="37" t="s">
        <v>52</v>
      </c>
      <c r="H230" s="37"/>
      <c r="I230" s="37"/>
      <c r="J230" s="37"/>
      <c r="K230" s="8"/>
      <c r="L230" s="48"/>
      <c r="M230" s="76" t="s">
        <v>359</v>
      </c>
    </row>
    <row r="231" spans="1:13" ht="26.25" customHeight="1">
      <c r="A231" s="4"/>
      <c r="B231" s="38" t="s">
        <v>360</v>
      </c>
      <c r="C231" s="38"/>
      <c r="D231" s="38"/>
      <c r="E231" s="38"/>
      <c r="F231" s="38"/>
      <c r="G231" s="25"/>
      <c r="H231" s="25"/>
      <c r="I231" s="25"/>
      <c r="J231" s="25"/>
      <c r="K231" s="8"/>
      <c r="L231" s="48" t="s">
        <v>361</v>
      </c>
      <c r="M231" s="76" t="s">
        <v>362</v>
      </c>
    </row>
    <row r="232" spans="2:12" ht="14.25" customHeight="1">
      <c r="B232" s="10"/>
      <c r="C232" s="10"/>
      <c r="D232" s="10"/>
      <c r="E232" s="10"/>
      <c r="F232" s="10"/>
      <c r="G232" s="10"/>
      <c r="H232" s="10"/>
      <c r="I232" s="29"/>
      <c r="J232" s="29"/>
      <c r="L232" s="48"/>
    </row>
    <row r="233" spans="1:12" ht="12.75">
      <c r="A233" s="4"/>
      <c r="B233" s="30" t="s">
        <v>363</v>
      </c>
      <c r="C233" s="19" t="s">
        <v>28</v>
      </c>
      <c r="D233" s="19"/>
      <c r="E233" s="19"/>
      <c r="F233" s="19"/>
      <c r="G233" s="31" t="s">
        <v>29</v>
      </c>
      <c r="H233" s="31"/>
      <c r="I233" s="32"/>
      <c r="J233" s="13"/>
      <c r="L233" s="48"/>
    </row>
    <row r="234" spans="1:12" ht="12.75">
      <c r="A234" s="4"/>
      <c r="B234" s="33" t="s">
        <v>32</v>
      </c>
      <c r="C234" s="23"/>
      <c r="D234" s="23" t="s">
        <v>33</v>
      </c>
      <c r="E234" s="23" t="s">
        <v>34</v>
      </c>
      <c r="F234" s="23" t="s">
        <v>35</v>
      </c>
      <c r="G234" s="33" t="s">
        <v>36</v>
      </c>
      <c r="H234" s="33" t="s">
        <v>37</v>
      </c>
      <c r="I234" s="33" t="s">
        <v>364</v>
      </c>
      <c r="J234" s="23" t="s">
        <v>39</v>
      </c>
      <c r="K234" s="8"/>
      <c r="L234" s="48"/>
    </row>
    <row r="235" spans="1:12" ht="12.75" customHeight="1">
      <c r="A235" s="4"/>
      <c r="B235" s="57" t="s">
        <v>365</v>
      </c>
      <c r="C235" s="35"/>
      <c r="D235" s="35"/>
      <c r="E235" s="35"/>
      <c r="F235" s="35"/>
      <c r="G235" s="34" t="s">
        <v>366</v>
      </c>
      <c r="H235" s="22"/>
      <c r="I235" s="24" t="s">
        <v>367</v>
      </c>
      <c r="J235" s="23"/>
      <c r="K235" s="8"/>
      <c r="L235" s="48"/>
    </row>
    <row r="236" spans="1:12" ht="12.75">
      <c r="A236" s="4"/>
      <c r="B236" s="57" t="s">
        <v>368</v>
      </c>
      <c r="C236" s="35"/>
      <c r="D236" s="35"/>
      <c r="E236" s="35"/>
      <c r="F236" s="35"/>
      <c r="G236" s="34" t="s">
        <v>366</v>
      </c>
      <c r="H236" s="22"/>
      <c r="I236" s="24"/>
      <c r="J236" s="23"/>
      <c r="K236" s="8"/>
      <c r="L236" s="48" t="s">
        <v>369</v>
      </c>
    </row>
    <row r="237" spans="1:12" ht="12.75">
      <c r="A237" s="4"/>
      <c r="B237" s="57" t="s">
        <v>370</v>
      </c>
      <c r="C237" s="35"/>
      <c r="D237" s="35"/>
      <c r="E237" s="35"/>
      <c r="F237" s="35"/>
      <c r="G237" s="34" t="s">
        <v>366</v>
      </c>
      <c r="H237" s="22"/>
      <c r="I237" s="24"/>
      <c r="J237" s="23"/>
      <c r="K237" s="8"/>
      <c r="L237" s="48"/>
    </row>
    <row r="238" spans="1:12" ht="12.75">
      <c r="A238" s="4"/>
      <c r="B238" s="57" t="s">
        <v>371</v>
      </c>
      <c r="C238" s="35"/>
      <c r="D238" s="35"/>
      <c r="E238" s="35"/>
      <c r="F238" s="35"/>
      <c r="G238" s="34" t="s">
        <v>366</v>
      </c>
      <c r="H238" s="22"/>
      <c r="I238" s="24"/>
      <c r="J238" s="23"/>
      <c r="K238" s="8"/>
      <c r="L238" s="48"/>
    </row>
    <row r="239" spans="1:12" ht="12.75">
      <c r="A239" s="4"/>
      <c r="B239" s="57" t="s">
        <v>372</v>
      </c>
      <c r="C239" s="35"/>
      <c r="D239" s="35"/>
      <c r="E239" s="35"/>
      <c r="F239" s="35"/>
      <c r="G239" s="34" t="s">
        <v>366</v>
      </c>
      <c r="H239" s="22"/>
      <c r="I239" s="24"/>
      <c r="J239" s="23"/>
      <c r="K239" s="8"/>
      <c r="L239" s="48"/>
    </row>
    <row r="240" spans="1:12" ht="12.75">
      <c r="A240" s="4"/>
      <c r="B240" s="57" t="s">
        <v>373</v>
      </c>
      <c r="C240" s="35"/>
      <c r="D240" s="35"/>
      <c r="E240" s="35"/>
      <c r="F240" s="35"/>
      <c r="G240" s="34" t="s">
        <v>366</v>
      </c>
      <c r="H240" s="22"/>
      <c r="I240" s="24"/>
      <c r="J240" s="23"/>
      <c r="K240" s="8"/>
      <c r="L240" s="48"/>
    </row>
    <row r="241" spans="1:12" ht="12.75">
      <c r="A241" s="4"/>
      <c r="B241" s="57" t="s">
        <v>374</v>
      </c>
      <c r="C241" s="35"/>
      <c r="D241" s="35"/>
      <c r="E241" s="35"/>
      <c r="F241" s="35"/>
      <c r="G241" s="34" t="s">
        <v>366</v>
      </c>
      <c r="H241" s="22"/>
      <c r="I241" s="24"/>
      <c r="J241" s="23"/>
      <c r="K241" s="8"/>
      <c r="L241" s="48"/>
    </row>
    <row r="242" spans="1:12" ht="12.75">
      <c r="A242" s="4"/>
      <c r="B242" s="57" t="s">
        <v>375</v>
      </c>
      <c r="C242" s="35"/>
      <c r="D242" s="35"/>
      <c r="E242" s="35"/>
      <c r="F242" s="35"/>
      <c r="G242" s="34" t="s">
        <v>366</v>
      </c>
      <c r="H242" s="22"/>
      <c r="I242" s="24"/>
      <c r="J242" s="23"/>
      <c r="K242" s="8"/>
      <c r="L242" s="48"/>
    </row>
    <row r="243" spans="1:12" ht="12.75">
      <c r="A243" s="4"/>
      <c r="B243" s="57" t="s">
        <v>376</v>
      </c>
      <c r="C243" s="35"/>
      <c r="D243" s="35"/>
      <c r="E243" s="35"/>
      <c r="F243" s="35"/>
      <c r="G243" s="34" t="s">
        <v>366</v>
      </c>
      <c r="H243" s="22"/>
      <c r="I243" s="24"/>
      <c r="J243" s="23"/>
      <c r="K243" s="8"/>
      <c r="L243" s="48"/>
    </row>
    <row r="244" spans="1:12" ht="12.75">
      <c r="A244" s="4"/>
      <c r="B244" s="57" t="s">
        <v>377</v>
      </c>
      <c r="C244" s="35"/>
      <c r="D244" s="35"/>
      <c r="E244" s="35"/>
      <c r="F244" s="35"/>
      <c r="G244" s="34" t="s">
        <v>366</v>
      </c>
      <c r="H244" s="22"/>
      <c r="I244" s="24"/>
      <c r="J244" s="23"/>
      <c r="K244" s="8"/>
      <c r="L244" s="48"/>
    </row>
    <row r="245" spans="1:12" ht="12.75">
      <c r="A245" s="4"/>
      <c r="B245" s="57" t="s">
        <v>378</v>
      </c>
      <c r="C245" s="35"/>
      <c r="D245" s="35"/>
      <c r="E245" s="35"/>
      <c r="F245" s="35"/>
      <c r="G245" s="34" t="s">
        <v>366</v>
      </c>
      <c r="H245" s="22"/>
      <c r="I245" s="24"/>
      <c r="J245" s="23"/>
      <c r="K245" s="8"/>
      <c r="L245" s="48"/>
    </row>
    <row r="246" spans="1:12" ht="12.75">
      <c r="A246" s="4"/>
      <c r="B246" s="57" t="s">
        <v>379</v>
      </c>
      <c r="C246" s="35"/>
      <c r="D246" s="35"/>
      <c r="E246" s="35"/>
      <c r="F246" s="35"/>
      <c r="G246" s="34" t="s">
        <v>366</v>
      </c>
      <c r="H246" s="22"/>
      <c r="I246" s="24"/>
      <c r="J246" s="23"/>
      <c r="K246" s="8"/>
      <c r="L246" s="48"/>
    </row>
    <row r="247" spans="1:12" ht="12.75">
      <c r="A247" s="4"/>
      <c r="B247" s="57" t="s">
        <v>380</v>
      </c>
      <c r="C247" s="35"/>
      <c r="D247" s="35"/>
      <c r="E247" s="35"/>
      <c r="F247" s="35"/>
      <c r="G247" s="34" t="s">
        <v>366</v>
      </c>
      <c r="H247" s="22"/>
      <c r="I247" s="24"/>
      <c r="J247" s="23"/>
      <c r="K247" s="8"/>
      <c r="L247" s="48"/>
    </row>
    <row r="248" spans="1:12" ht="12.75">
      <c r="A248" s="4"/>
      <c r="B248" s="57" t="s">
        <v>381</v>
      </c>
      <c r="C248" s="35"/>
      <c r="D248" s="35"/>
      <c r="E248" s="35"/>
      <c r="F248" s="35"/>
      <c r="G248" s="34" t="s">
        <v>366</v>
      </c>
      <c r="H248" s="22"/>
      <c r="I248" s="24"/>
      <c r="J248" s="23"/>
      <c r="K248" s="8"/>
      <c r="L248" s="48"/>
    </row>
    <row r="249" spans="1:12" ht="12.75">
      <c r="A249" s="4"/>
      <c r="B249" s="57" t="s">
        <v>382</v>
      </c>
      <c r="C249" s="35"/>
      <c r="D249" s="35"/>
      <c r="E249" s="35"/>
      <c r="F249" s="35"/>
      <c r="G249" s="34" t="s">
        <v>366</v>
      </c>
      <c r="H249" s="22"/>
      <c r="I249" s="24"/>
      <c r="J249" s="23"/>
      <c r="K249" s="8"/>
      <c r="L249" s="48"/>
    </row>
    <row r="250" spans="1:12" ht="12.75">
      <c r="A250" s="4"/>
      <c r="B250" s="57" t="s">
        <v>383</v>
      </c>
      <c r="C250" s="35"/>
      <c r="D250" s="35"/>
      <c r="E250" s="35"/>
      <c r="F250" s="35"/>
      <c r="G250" s="34" t="s">
        <v>366</v>
      </c>
      <c r="H250" s="22"/>
      <c r="I250" s="24"/>
      <c r="J250" s="23"/>
      <c r="K250" s="8"/>
      <c r="L250" s="48"/>
    </row>
    <row r="251" spans="1:12" ht="12.75">
      <c r="A251" s="4"/>
      <c r="B251" s="57" t="s">
        <v>384</v>
      </c>
      <c r="C251" s="35"/>
      <c r="D251" s="35"/>
      <c r="E251" s="35"/>
      <c r="F251" s="35"/>
      <c r="G251" s="34" t="s">
        <v>366</v>
      </c>
      <c r="H251" s="22"/>
      <c r="I251" s="24"/>
      <c r="J251" s="23"/>
      <c r="K251" s="8"/>
      <c r="L251" s="48"/>
    </row>
    <row r="252" spans="1:12" ht="12.75">
      <c r="A252" s="4"/>
      <c r="B252" s="57" t="s">
        <v>385</v>
      </c>
      <c r="C252" s="35"/>
      <c r="D252" s="35"/>
      <c r="E252" s="35"/>
      <c r="F252" s="35"/>
      <c r="G252" s="34" t="s">
        <v>366</v>
      </c>
      <c r="H252" s="22"/>
      <c r="I252" s="24"/>
      <c r="J252" s="23"/>
      <c r="K252" s="8"/>
      <c r="L252" s="48"/>
    </row>
    <row r="253" spans="2:12" ht="14.25" customHeight="1">
      <c r="B253" s="10"/>
      <c r="C253" s="10"/>
      <c r="D253" s="10"/>
      <c r="E253" s="10"/>
      <c r="F253" s="10"/>
      <c r="G253" s="10"/>
      <c r="H253" s="10"/>
      <c r="J253" s="29"/>
      <c r="L253" s="48"/>
    </row>
    <row r="254" spans="1:12" ht="12.75">
      <c r="A254" s="4"/>
      <c r="B254" s="30" t="s">
        <v>386</v>
      </c>
      <c r="C254" s="19" t="s">
        <v>28</v>
      </c>
      <c r="D254" s="19"/>
      <c r="E254" s="19"/>
      <c r="F254" s="19"/>
      <c r="G254" s="31" t="s">
        <v>29</v>
      </c>
      <c r="H254" s="31"/>
      <c r="I254" s="32"/>
      <c r="J254" s="13"/>
      <c r="L254" s="48"/>
    </row>
    <row r="255" spans="1:12" ht="12.75">
      <c r="A255" s="4"/>
      <c r="B255" s="33" t="s">
        <v>32</v>
      </c>
      <c r="C255" s="23"/>
      <c r="D255" s="23" t="s">
        <v>33</v>
      </c>
      <c r="E255" s="23" t="s">
        <v>34</v>
      </c>
      <c r="F255" s="23" t="s">
        <v>35</v>
      </c>
      <c r="G255" s="33" t="s">
        <v>36</v>
      </c>
      <c r="H255" s="33" t="s">
        <v>37</v>
      </c>
      <c r="I255" s="33" t="s">
        <v>38</v>
      </c>
      <c r="J255" s="23" t="s">
        <v>39</v>
      </c>
      <c r="K255" s="8"/>
      <c r="L255" s="48"/>
    </row>
    <row r="256" spans="1:12" ht="156.75" customHeight="1">
      <c r="A256" s="4"/>
      <c r="B256" s="34" t="s">
        <v>387</v>
      </c>
      <c r="C256" s="35"/>
      <c r="D256" s="35"/>
      <c r="E256" s="35"/>
      <c r="F256" s="35"/>
      <c r="G256" s="34" t="s">
        <v>41</v>
      </c>
      <c r="H256" s="22"/>
      <c r="I256" s="24" t="s">
        <v>388</v>
      </c>
      <c r="J256" s="87">
        <f>HYPERLINK("TelephonyRecord!TelephonyNetworkID_Tel_Service_Usage","TelephonyNetworkID")</f>
        <v>0</v>
      </c>
      <c r="K256" s="8"/>
      <c r="L256" s="48" t="s">
        <v>389</v>
      </c>
    </row>
    <row r="257" spans="1:12" ht="12.75">
      <c r="A257" s="4"/>
      <c r="B257" s="34" t="s">
        <v>390</v>
      </c>
      <c r="C257" s="35"/>
      <c r="D257" s="35"/>
      <c r="E257" s="35"/>
      <c r="F257" s="35"/>
      <c r="G257" s="34" t="s">
        <v>41</v>
      </c>
      <c r="H257" s="22"/>
      <c r="I257" s="59">
        <f>HYPERLINK("TelephonyRecord!TimeSpan_TelephonyLocation","TimeSpan")</f>
        <v>0</v>
      </c>
      <c r="J257" s="23"/>
      <c r="K257" s="8"/>
      <c r="L257" s="48" t="s">
        <v>189</v>
      </c>
    </row>
    <row r="258" spans="1:12" ht="12.75">
      <c r="A258" s="4"/>
      <c r="B258" s="68" t="s">
        <v>391</v>
      </c>
      <c r="C258" s="68"/>
      <c r="D258" s="68"/>
      <c r="E258" s="68"/>
      <c r="F258" s="68"/>
      <c r="G258" s="68"/>
      <c r="H258" s="7" t="s">
        <v>43</v>
      </c>
      <c r="I258" s="7"/>
      <c r="J258" s="7"/>
      <c r="K258" s="8"/>
      <c r="L258" s="48"/>
    </row>
    <row r="259" spans="2:12" ht="14.25" customHeight="1">
      <c r="B259" s="79"/>
      <c r="C259" s="79"/>
      <c r="D259" s="79"/>
      <c r="E259" s="79"/>
      <c r="F259" s="79"/>
      <c r="G259" s="79"/>
      <c r="H259" s="10"/>
      <c r="I259" s="10"/>
      <c r="J259" s="10"/>
      <c r="L259" s="48"/>
    </row>
    <row r="260" spans="1:12" ht="45.75" customHeight="1">
      <c r="A260" s="4"/>
      <c r="B260" s="36" t="s">
        <v>392</v>
      </c>
      <c r="C260" s="36"/>
      <c r="D260" s="36"/>
      <c r="E260" s="36"/>
      <c r="F260" s="36"/>
      <c r="G260" s="37" t="s">
        <v>52</v>
      </c>
      <c r="H260" s="37"/>
      <c r="I260" s="37"/>
      <c r="J260" s="37"/>
      <c r="K260" s="8"/>
      <c r="L260" s="48" t="s">
        <v>393</v>
      </c>
    </row>
    <row r="261" spans="1:12" ht="26.25" customHeight="1">
      <c r="A261" s="4"/>
      <c r="B261" s="38" t="s">
        <v>394</v>
      </c>
      <c r="C261" s="38"/>
      <c r="D261" s="38"/>
      <c r="E261" s="38"/>
      <c r="F261" s="38"/>
      <c r="G261" s="25"/>
      <c r="H261" s="25"/>
      <c r="I261" s="25"/>
      <c r="J261" s="25"/>
      <c r="K261" s="8"/>
      <c r="L261" s="48">
        <v>5321</v>
      </c>
    </row>
    <row r="262" spans="2:12" ht="14.25" customHeight="1">
      <c r="B262" s="10"/>
      <c r="C262" s="10"/>
      <c r="D262" s="10"/>
      <c r="E262" s="10"/>
      <c r="F262" s="10"/>
      <c r="G262" s="10"/>
      <c r="H262" s="10"/>
      <c r="I262" s="29"/>
      <c r="J262" s="29"/>
      <c r="L262" s="48"/>
    </row>
    <row r="263" spans="1:12" ht="12.75">
      <c r="A263" s="4"/>
      <c r="B263" s="30" t="s">
        <v>231</v>
      </c>
      <c r="C263" s="19" t="s">
        <v>28</v>
      </c>
      <c r="D263" s="19"/>
      <c r="E263" s="19"/>
      <c r="F263" s="19"/>
      <c r="G263" s="31" t="s">
        <v>29</v>
      </c>
      <c r="H263" s="31"/>
      <c r="I263" s="32"/>
      <c r="J263" s="13"/>
      <c r="L263" s="48"/>
    </row>
    <row r="264" spans="1:12" ht="12.75">
      <c r="A264" s="4"/>
      <c r="B264" s="33" t="s">
        <v>32</v>
      </c>
      <c r="C264" s="23"/>
      <c r="D264" s="23" t="s">
        <v>33</v>
      </c>
      <c r="E264" s="23" t="s">
        <v>34</v>
      </c>
      <c r="F264" s="23" t="s">
        <v>35</v>
      </c>
      <c r="G264" s="33" t="s">
        <v>36</v>
      </c>
      <c r="H264" s="33" t="s">
        <v>37</v>
      </c>
      <c r="I264" s="33" t="s">
        <v>38</v>
      </c>
      <c r="J264" s="23" t="s">
        <v>39</v>
      </c>
      <c r="K264" s="8"/>
      <c r="L264" s="48"/>
    </row>
    <row r="265" spans="1:13" ht="12.75">
      <c r="A265" s="4"/>
      <c r="B265" s="57" t="s">
        <v>106</v>
      </c>
      <c r="C265" s="35"/>
      <c r="D265" s="35"/>
      <c r="E265" s="35"/>
      <c r="F265" s="35"/>
      <c r="G265" s="34" t="s">
        <v>41</v>
      </c>
      <c r="H265" s="22"/>
      <c r="I265" s="22"/>
      <c r="J265" s="23"/>
      <c r="K265" s="8"/>
      <c r="L265" s="48" t="s">
        <v>395</v>
      </c>
      <c r="M265" s="76" t="s">
        <v>396</v>
      </c>
    </row>
    <row r="266" spans="1:12" ht="12.75">
      <c r="A266" s="4"/>
      <c r="B266" s="57" t="s">
        <v>108</v>
      </c>
      <c r="C266" s="35"/>
      <c r="D266" s="35"/>
      <c r="E266" s="35"/>
      <c r="F266" s="35"/>
      <c r="G266" s="34" t="s">
        <v>41</v>
      </c>
      <c r="H266" s="22"/>
      <c r="I266" s="22"/>
      <c r="J266" s="23"/>
      <c r="K266" s="8"/>
      <c r="L266" s="48" t="s">
        <v>397</v>
      </c>
    </row>
    <row r="267" spans="1:12" ht="12.75">
      <c r="A267" s="4"/>
      <c r="B267" s="67" t="s">
        <v>109</v>
      </c>
      <c r="C267" s="68"/>
      <c r="D267" s="68"/>
      <c r="E267" s="68"/>
      <c r="F267" s="68"/>
      <c r="G267" s="68"/>
      <c r="H267" s="7" t="s">
        <v>43</v>
      </c>
      <c r="I267" s="7"/>
      <c r="J267" s="7"/>
      <c r="K267" s="8"/>
      <c r="L267" s="48"/>
    </row>
    <row r="268" spans="2:12" ht="14.25" customHeight="1">
      <c r="B268" s="10"/>
      <c r="C268" s="10"/>
      <c r="D268" s="10"/>
      <c r="E268" s="10"/>
      <c r="F268" s="10"/>
      <c r="G268" s="10"/>
      <c r="H268" s="10"/>
      <c r="I268" s="29"/>
      <c r="J268" s="29"/>
      <c r="L268" s="48"/>
    </row>
    <row r="269" spans="1:12" ht="12.75">
      <c r="A269" s="4"/>
      <c r="B269" s="30" t="s">
        <v>398</v>
      </c>
      <c r="C269" s="19" t="s">
        <v>28</v>
      </c>
      <c r="D269" s="19"/>
      <c r="E269" s="19"/>
      <c r="F269" s="19"/>
      <c r="G269" s="31" t="s">
        <v>29</v>
      </c>
      <c r="H269" s="31"/>
      <c r="I269" s="32"/>
      <c r="J269" s="13"/>
      <c r="L269" s="48"/>
    </row>
    <row r="270" spans="1:12" ht="12.75">
      <c r="A270" s="4"/>
      <c r="B270" s="33" t="s">
        <v>32</v>
      </c>
      <c r="C270" s="23"/>
      <c r="D270" s="23" t="s">
        <v>33</v>
      </c>
      <c r="E270" s="23" t="s">
        <v>34</v>
      </c>
      <c r="F270" s="23" t="s">
        <v>35</v>
      </c>
      <c r="G270" s="33" t="s">
        <v>36</v>
      </c>
      <c r="H270" s="33" t="s">
        <v>37</v>
      </c>
      <c r="I270" s="33" t="s">
        <v>38</v>
      </c>
      <c r="J270" s="23" t="s">
        <v>39</v>
      </c>
      <c r="K270" s="8"/>
      <c r="L270" s="48"/>
    </row>
    <row r="271" spans="1:12" ht="12.75">
      <c r="A271" s="4"/>
      <c r="B271" s="57" t="s">
        <v>106</v>
      </c>
      <c r="C271" s="35"/>
      <c r="D271" s="35"/>
      <c r="E271" s="35"/>
      <c r="F271" s="35"/>
      <c r="G271" s="34" t="s">
        <v>41</v>
      </c>
      <c r="H271" s="22"/>
      <c r="I271" s="22"/>
      <c r="J271" s="23"/>
      <c r="K271" s="8"/>
      <c r="L271" s="48" t="s">
        <v>395</v>
      </c>
    </row>
    <row r="272" spans="1:12" ht="12.75">
      <c r="A272" s="4"/>
      <c r="B272" s="57" t="s">
        <v>108</v>
      </c>
      <c r="C272" s="35"/>
      <c r="D272" s="35"/>
      <c r="E272" s="35"/>
      <c r="F272" s="35"/>
      <c r="G272" s="34" t="s">
        <v>41</v>
      </c>
      <c r="H272" s="22"/>
      <c r="I272" s="22"/>
      <c r="J272" s="23"/>
      <c r="K272" s="8"/>
      <c r="L272" s="48" t="s">
        <v>397</v>
      </c>
    </row>
    <row r="273" spans="1:12" ht="12.75">
      <c r="A273" s="4"/>
      <c r="B273" s="57" t="s">
        <v>109</v>
      </c>
      <c r="C273" s="35"/>
      <c r="D273" s="35"/>
      <c r="E273" s="35"/>
      <c r="F273" s="35"/>
      <c r="G273" s="34" t="s">
        <v>41</v>
      </c>
      <c r="H273" s="22"/>
      <c r="I273" s="22"/>
      <c r="J273" s="23"/>
      <c r="K273" s="8"/>
      <c r="L273" s="48">
        <v>1187</v>
      </c>
    </row>
    <row r="274" spans="2:12" ht="14.25" customHeight="1">
      <c r="B274" s="10"/>
      <c r="C274" s="10"/>
      <c r="D274" s="10"/>
      <c r="E274" s="10"/>
      <c r="F274" s="10"/>
      <c r="G274" s="10"/>
      <c r="H274" s="10"/>
      <c r="I274" s="29"/>
      <c r="J274" s="29"/>
      <c r="L274" s="48"/>
    </row>
    <row r="275" spans="1:12" ht="12.75">
      <c r="A275" s="4"/>
      <c r="B275" s="30" t="s">
        <v>399</v>
      </c>
      <c r="C275" s="19" t="s">
        <v>28</v>
      </c>
      <c r="D275" s="19"/>
      <c r="E275" s="19"/>
      <c r="F275" s="19"/>
      <c r="G275" s="31" t="s">
        <v>29</v>
      </c>
      <c r="H275" s="31"/>
      <c r="I275" s="32"/>
      <c r="J275" s="13"/>
      <c r="L275" s="48"/>
    </row>
    <row r="276" spans="1:12" ht="12.75">
      <c r="A276" s="4"/>
      <c r="B276" s="33" t="s">
        <v>32</v>
      </c>
      <c r="C276" s="23"/>
      <c r="D276" s="23" t="s">
        <v>33</v>
      </c>
      <c r="E276" s="23" t="s">
        <v>34</v>
      </c>
      <c r="F276" s="23" t="s">
        <v>35</v>
      </c>
      <c r="G276" s="33" t="s">
        <v>36</v>
      </c>
      <c r="H276" s="33" t="s">
        <v>37</v>
      </c>
      <c r="I276" s="33" t="s">
        <v>38</v>
      </c>
      <c r="J276" s="23" t="s">
        <v>39</v>
      </c>
      <c r="K276" s="8"/>
      <c r="L276" s="48"/>
    </row>
    <row r="277" spans="1:12" ht="142.5" customHeight="1">
      <c r="A277" s="4"/>
      <c r="B277" s="57" t="s">
        <v>387</v>
      </c>
      <c r="C277" s="35"/>
      <c r="D277" s="35"/>
      <c r="E277" s="35"/>
      <c r="F277" s="35"/>
      <c r="G277" s="34" t="s">
        <v>41</v>
      </c>
      <c r="H277" s="22"/>
      <c r="I277" s="89" t="s">
        <v>388</v>
      </c>
      <c r="J277" s="90">
        <f>HYPERLINK("TelephonyRecord!TelephonyNetworkID_TelephonyNetworkElement","TelephonyNetworkID")</f>
        <v>0</v>
      </c>
      <c r="K277" s="8"/>
      <c r="L277" s="48" t="s">
        <v>389</v>
      </c>
    </row>
    <row r="278" spans="1:12" ht="12.75">
      <c r="A278" s="4"/>
      <c r="B278" s="57" t="s">
        <v>400</v>
      </c>
      <c r="C278" s="35"/>
      <c r="D278" s="35"/>
      <c r="E278" s="35"/>
      <c r="F278" s="35"/>
      <c r="G278" s="34" t="s">
        <v>41</v>
      </c>
      <c r="H278" s="22"/>
      <c r="I278" s="59">
        <f>HYPERLINK("TelephonyRecord!Location_Tel_Service_Usage","Location")</f>
        <v>0</v>
      </c>
      <c r="J278" s="23"/>
      <c r="K278" s="8"/>
      <c r="L278" s="48" t="s">
        <v>401</v>
      </c>
    </row>
    <row r="279" spans="1:12" ht="12.75">
      <c r="A279" s="4"/>
      <c r="B279" s="57" t="s">
        <v>402</v>
      </c>
      <c r="C279" s="35"/>
      <c r="D279" s="35"/>
      <c r="E279" s="35"/>
      <c r="F279" s="35"/>
      <c r="G279" s="34" t="s">
        <v>41</v>
      </c>
      <c r="H279" s="22"/>
      <c r="I279" s="59">
        <f>HYPERLINK("TelephonyRecord!TimeSpan_TelephonyNetworkElement","TimeSpan")</f>
        <v>0</v>
      </c>
      <c r="J279" s="23"/>
      <c r="K279" s="8"/>
      <c r="L279" s="48" t="s">
        <v>189</v>
      </c>
    </row>
    <row r="280" spans="1:12" ht="12.75">
      <c r="A280" s="4"/>
      <c r="B280" s="67" t="s">
        <v>403</v>
      </c>
      <c r="C280" s="68"/>
      <c r="D280" s="68"/>
      <c r="E280" s="68"/>
      <c r="F280" s="68"/>
      <c r="G280" s="68"/>
      <c r="H280" s="7" t="s">
        <v>43</v>
      </c>
      <c r="I280" s="7"/>
      <c r="J280" s="7"/>
      <c r="K280" s="8"/>
      <c r="L280" s="48"/>
    </row>
    <row r="281" spans="1:12" ht="12.75">
      <c r="A281" s="4"/>
      <c r="B281" s="67" t="s">
        <v>404</v>
      </c>
      <c r="C281" s="68"/>
      <c r="D281" s="68"/>
      <c r="E281" s="68"/>
      <c r="F281" s="68"/>
      <c r="G281" s="68"/>
      <c r="H281" s="7" t="s">
        <v>43</v>
      </c>
      <c r="I281" s="7"/>
      <c r="J281" s="7"/>
      <c r="K281" s="8"/>
      <c r="L281" s="48"/>
    </row>
    <row r="282" spans="2:12" ht="14.25" customHeight="1">
      <c r="B282" s="10"/>
      <c r="C282" s="10"/>
      <c r="D282" s="10"/>
      <c r="E282" s="10"/>
      <c r="F282" s="10"/>
      <c r="G282" s="10"/>
      <c r="H282" s="10"/>
      <c r="I282" s="10"/>
      <c r="J282" s="10"/>
      <c r="L282" s="48"/>
    </row>
    <row r="283" spans="1:12" ht="45.75" customHeight="1">
      <c r="A283" s="4"/>
      <c r="B283" s="36" t="s">
        <v>405</v>
      </c>
      <c r="C283" s="36"/>
      <c r="D283" s="36"/>
      <c r="E283" s="36"/>
      <c r="F283" s="36"/>
      <c r="G283" s="37" t="s">
        <v>52</v>
      </c>
      <c r="H283" s="37"/>
      <c r="I283" s="37"/>
      <c r="J283" s="37"/>
      <c r="K283" s="8"/>
      <c r="L283" s="48" t="s">
        <v>393</v>
      </c>
    </row>
    <row r="284" spans="1:12" ht="26.25" customHeight="1">
      <c r="A284" s="4"/>
      <c r="B284" s="38" t="s">
        <v>394</v>
      </c>
      <c r="C284" s="38"/>
      <c r="D284" s="38"/>
      <c r="E284" s="38"/>
      <c r="F284" s="38"/>
      <c r="G284" s="25"/>
      <c r="H284" s="25"/>
      <c r="I284" s="25"/>
      <c r="J284" s="25"/>
      <c r="K284" s="8"/>
      <c r="L284" s="48">
        <v>5321</v>
      </c>
    </row>
    <row r="285" spans="2:12" ht="12.75">
      <c r="B285" s="78"/>
      <c r="C285" s="78"/>
      <c r="D285" s="78"/>
      <c r="E285" s="78"/>
      <c r="F285" s="78"/>
      <c r="G285" s="54"/>
      <c r="H285" s="54"/>
      <c r="I285" s="62"/>
      <c r="J285" s="62"/>
      <c r="L285" s="48"/>
    </row>
    <row r="286" spans="1:12" ht="12.75">
      <c r="A286" s="4"/>
      <c r="B286" s="30" t="s">
        <v>231</v>
      </c>
      <c r="C286" s="19" t="s">
        <v>28</v>
      </c>
      <c r="D286" s="19"/>
      <c r="E286" s="19"/>
      <c r="F286" s="19"/>
      <c r="G286" s="31" t="s">
        <v>29</v>
      </c>
      <c r="H286" s="31"/>
      <c r="I286" s="32"/>
      <c r="J286" s="13"/>
      <c r="L286" s="48"/>
    </row>
    <row r="287" spans="1:12" ht="12.75">
      <c r="A287" s="4"/>
      <c r="B287" s="33" t="s">
        <v>32</v>
      </c>
      <c r="C287" s="23"/>
      <c r="D287" s="23" t="s">
        <v>33</v>
      </c>
      <c r="E287" s="23" t="s">
        <v>34</v>
      </c>
      <c r="F287" s="23" t="s">
        <v>35</v>
      </c>
      <c r="G287" s="33" t="s">
        <v>36</v>
      </c>
      <c r="H287" s="33" t="s">
        <v>37</v>
      </c>
      <c r="I287" s="33" t="s">
        <v>38</v>
      </c>
      <c r="J287" s="23" t="s">
        <v>39</v>
      </c>
      <c r="K287" s="8"/>
      <c r="L287" s="48"/>
    </row>
    <row r="288" spans="1:12" ht="12.75">
      <c r="A288" s="4"/>
      <c r="B288" s="57" t="s">
        <v>106</v>
      </c>
      <c r="C288" s="35"/>
      <c r="D288" s="35"/>
      <c r="E288" s="35"/>
      <c r="F288" s="35"/>
      <c r="G288" s="34" t="s">
        <v>41</v>
      </c>
      <c r="H288" s="22"/>
      <c r="I288" s="22"/>
      <c r="J288" s="23"/>
      <c r="K288" s="8"/>
      <c r="L288" s="48" t="s">
        <v>406</v>
      </c>
    </row>
    <row r="289" spans="1:12" ht="12.75">
      <c r="A289" s="4"/>
      <c r="B289" s="57" t="s">
        <v>108</v>
      </c>
      <c r="C289" s="35"/>
      <c r="D289" s="35"/>
      <c r="E289" s="35"/>
      <c r="F289" s="35"/>
      <c r="G289" s="34" t="s">
        <v>41</v>
      </c>
      <c r="H289" s="22"/>
      <c r="I289" s="22"/>
      <c r="J289" s="23"/>
      <c r="K289" s="8"/>
      <c r="L289" s="48" t="s">
        <v>86</v>
      </c>
    </row>
    <row r="290" spans="1:12" ht="12.75">
      <c r="A290" s="4"/>
      <c r="B290" s="67" t="s">
        <v>109</v>
      </c>
      <c r="C290" s="68"/>
      <c r="D290" s="68"/>
      <c r="E290" s="68"/>
      <c r="F290" s="68"/>
      <c r="G290" s="68"/>
      <c r="H290" s="7" t="s">
        <v>43</v>
      </c>
      <c r="I290" s="7"/>
      <c r="J290" s="7"/>
      <c r="K290" s="8"/>
      <c r="L290" s="48"/>
    </row>
    <row r="291" spans="2:12" ht="14.25" customHeight="1">
      <c r="B291" s="10"/>
      <c r="C291" s="10"/>
      <c r="D291" s="10"/>
      <c r="E291" s="10"/>
      <c r="F291" s="10"/>
      <c r="G291" s="10"/>
      <c r="H291" s="10"/>
      <c r="I291" s="29"/>
      <c r="J291" s="29"/>
      <c r="L291" s="48"/>
    </row>
    <row r="292" spans="1:12" ht="12.75">
      <c r="A292" s="4"/>
      <c r="B292" s="30" t="s">
        <v>407</v>
      </c>
      <c r="C292" s="19" t="s">
        <v>28</v>
      </c>
      <c r="D292" s="19"/>
      <c r="E292" s="19"/>
      <c r="F292" s="19"/>
      <c r="G292" s="31" t="s">
        <v>29</v>
      </c>
      <c r="H292" s="31"/>
      <c r="I292" s="32"/>
      <c r="J292" s="13"/>
      <c r="L292" s="48"/>
    </row>
    <row r="293" spans="1:12" ht="12.75">
      <c r="A293" s="4"/>
      <c r="B293" s="33" t="s">
        <v>32</v>
      </c>
      <c r="C293" s="23"/>
      <c r="D293" s="23" t="s">
        <v>33</v>
      </c>
      <c r="E293" s="23" t="s">
        <v>34</v>
      </c>
      <c r="F293" s="23" t="s">
        <v>35</v>
      </c>
      <c r="G293" s="33" t="s">
        <v>36</v>
      </c>
      <c r="H293" s="33" t="s">
        <v>37</v>
      </c>
      <c r="I293" s="33" t="s">
        <v>38</v>
      </c>
      <c r="J293" s="23" t="s">
        <v>39</v>
      </c>
      <c r="K293" s="8"/>
      <c r="L293" s="48"/>
    </row>
    <row r="294" spans="1:12" ht="12.75">
      <c r="A294" s="4"/>
      <c r="B294" s="67" t="s">
        <v>408</v>
      </c>
      <c r="C294" s="68"/>
      <c r="D294" s="68"/>
      <c r="E294" s="68"/>
      <c r="F294" s="68"/>
      <c r="G294" s="68"/>
      <c r="H294" s="68" t="s">
        <v>43</v>
      </c>
      <c r="I294" s="7"/>
      <c r="J294" s="7"/>
      <c r="K294" s="8"/>
      <c r="L294" s="48"/>
    </row>
    <row r="295" spans="1:13" ht="34.5">
      <c r="A295" s="4"/>
      <c r="B295" s="57" t="s">
        <v>409</v>
      </c>
      <c r="C295" s="34"/>
      <c r="D295" s="35"/>
      <c r="E295" s="35"/>
      <c r="F295" s="35"/>
      <c r="G295" s="34" t="s">
        <v>41</v>
      </c>
      <c r="H295" s="34"/>
      <c r="I295" s="34" t="s">
        <v>410</v>
      </c>
      <c r="J295" s="23"/>
      <c r="K295" s="8"/>
      <c r="L295" s="48">
        <v>2280018085321</v>
      </c>
      <c r="M295" s="76" t="s">
        <v>411</v>
      </c>
    </row>
    <row r="296" spans="1:12" ht="12.75">
      <c r="A296" s="4"/>
      <c r="B296" s="67" t="s">
        <v>412</v>
      </c>
      <c r="C296" s="68"/>
      <c r="D296" s="68"/>
      <c r="E296" s="68"/>
      <c r="F296" s="68"/>
      <c r="G296" s="68"/>
      <c r="H296" s="68" t="s">
        <v>43</v>
      </c>
      <c r="I296" s="7"/>
      <c r="J296" s="7"/>
      <c r="K296" s="8"/>
      <c r="L296" s="48"/>
    </row>
    <row r="297" spans="1:12" ht="12.75">
      <c r="A297" s="4"/>
      <c r="B297" s="57" t="s">
        <v>413</v>
      </c>
      <c r="C297" s="34"/>
      <c r="D297" s="35"/>
      <c r="E297" s="35"/>
      <c r="F297" s="35"/>
      <c r="G297" s="34" t="s">
        <v>41</v>
      </c>
      <c r="H297" s="34"/>
      <c r="I297" s="59">
        <f>HYPERLINK("TelephonyRecord!GSMLocation","GSMLocation")</f>
        <v>0</v>
      </c>
      <c r="J297" s="23"/>
      <c r="K297" s="8"/>
      <c r="L297" s="48" t="s">
        <v>414</v>
      </c>
    </row>
    <row r="298" spans="1:12" ht="12.75">
      <c r="A298" s="4"/>
      <c r="B298" s="67" t="s">
        <v>415</v>
      </c>
      <c r="C298" s="68"/>
      <c r="D298" s="68"/>
      <c r="E298" s="68"/>
      <c r="F298" s="68"/>
      <c r="G298" s="68"/>
      <c r="H298" s="68" t="s">
        <v>43</v>
      </c>
      <c r="I298" s="7"/>
      <c r="J298" s="7"/>
      <c r="K298" s="8"/>
      <c r="L298" s="48"/>
    </row>
    <row r="299" spans="1:12" ht="12.75">
      <c r="A299" s="4"/>
      <c r="B299" s="67" t="s">
        <v>416</v>
      </c>
      <c r="C299" s="68"/>
      <c r="D299" s="68"/>
      <c r="E299" s="68"/>
      <c r="F299" s="68"/>
      <c r="G299" s="68"/>
      <c r="H299" s="68" t="s">
        <v>43</v>
      </c>
      <c r="I299" s="7"/>
      <c r="J299" s="7"/>
      <c r="K299" s="8"/>
      <c r="L299" s="48"/>
    </row>
    <row r="300" spans="1:12" ht="12.75">
      <c r="A300" s="4"/>
      <c r="B300" s="67" t="s">
        <v>417</v>
      </c>
      <c r="C300" s="68"/>
      <c r="D300" s="68"/>
      <c r="E300" s="68"/>
      <c r="F300" s="68"/>
      <c r="G300" s="68"/>
      <c r="H300" s="68" t="s">
        <v>43</v>
      </c>
      <c r="I300" s="7"/>
      <c r="J300" s="7"/>
      <c r="K300" s="8"/>
      <c r="L300" s="48"/>
    </row>
    <row r="301" spans="1:12" ht="12.75">
      <c r="A301" s="4"/>
      <c r="B301" s="57" t="s">
        <v>418</v>
      </c>
      <c r="C301" s="34"/>
      <c r="D301" s="35"/>
      <c r="E301" s="35"/>
      <c r="F301" s="35"/>
      <c r="G301" s="34" t="s">
        <v>41</v>
      </c>
      <c r="H301" s="34"/>
      <c r="I301" s="59">
        <f>HYPERLINK("TelephonyRecord!AddressInformation_GSMLocation","AddressInformation")</f>
        <v>0</v>
      </c>
      <c r="J301" s="23"/>
      <c r="K301" s="8"/>
      <c r="L301" s="48" t="s">
        <v>419</v>
      </c>
    </row>
    <row r="302" spans="1:12" ht="12.75">
      <c r="A302" s="4"/>
      <c r="B302" s="67" t="s">
        <v>420</v>
      </c>
      <c r="C302" s="68"/>
      <c r="D302" s="68"/>
      <c r="E302" s="68"/>
      <c r="F302" s="68"/>
      <c r="G302" s="68"/>
      <c r="H302" s="68" t="s">
        <v>43</v>
      </c>
      <c r="I302" s="7"/>
      <c r="J302" s="7"/>
      <c r="K302" s="8"/>
      <c r="L302" s="48"/>
    </row>
    <row r="303" spans="2:12" ht="14.25" customHeight="1">
      <c r="B303" s="10"/>
      <c r="C303" s="10"/>
      <c r="D303" s="10"/>
      <c r="E303" s="10"/>
      <c r="F303" s="10"/>
      <c r="G303" s="10"/>
      <c r="H303" s="10"/>
      <c r="I303" s="29"/>
      <c r="J303" s="29"/>
      <c r="L303" s="48"/>
    </row>
    <row r="304" spans="1:12" ht="12.75">
      <c r="A304" s="4"/>
      <c r="B304" s="30" t="s">
        <v>421</v>
      </c>
      <c r="C304" s="19" t="s">
        <v>28</v>
      </c>
      <c r="D304" s="19"/>
      <c r="E304" s="19"/>
      <c r="F304" s="19"/>
      <c r="G304" s="31" t="s">
        <v>29</v>
      </c>
      <c r="H304" s="31"/>
      <c r="I304" s="32"/>
      <c r="J304" s="13"/>
      <c r="L304" s="48"/>
    </row>
    <row r="305" spans="1:12" ht="12.75">
      <c r="A305" s="4"/>
      <c r="B305" s="33" t="s">
        <v>32</v>
      </c>
      <c r="C305" s="23"/>
      <c r="D305" s="23" t="s">
        <v>33</v>
      </c>
      <c r="E305" s="23" t="s">
        <v>34</v>
      </c>
      <c r="F305" s="23" t="s">
        <v>35</v>
      </c>
      <c r="G305" s="33" t="s">
        <v>36</v>
      </c>
      <c r="H305" s="33" t="s">
        <v>37</v>
      </c>
      <c r="I305" s="33" t="s">
        <v>38</v>
      </c>
      <c r="J305" s="23" t="s">
        <v>39</v>
      </c>
      <c r="K305" s="8"/>
      <c r="L305" s="48"/>
    </row>
    <row r="306" spans="1:12" ht="12.75">
      <c r="A306" s="4"/>
      <c r="B306" s="57" t="s">
        <v>422</v>
      </c>
      <c r="C306" s="35"/>
      <c r="D306" s="35"/>
      <c r="E306" s="35"/>
      <c r="F306" s="35"/>
      <c r="G306" s="34" t="s">
        <v>41</v>
      </c>
      <c r="H306" s="34"/>
      <c r="I306" s="59">
        <f>HYPERLINK("TelephonyRecord!geoCoordinates","geoCoordinates")</f>
        <v>0</v>
      </c>
      <c r="J306" s="23"/>
      <c r="K306" s="8"/>
      <c r="L306" s="48" t="s">
        <v>423</v>
      </c>
    </row>
    <row r="307" spans="1:12" ht="12.75">
      <c r="A307" s="4"/>
      <c r="B307" s="67" t="s">
        <v>424</v>
      </c>
      <c r="C307" s="68"/>
      <c r="D307" s="68"/>
      <c r="E307" s="68"/>
      <c r="F307" s="68"/>
      <c r="G307" s="68"/>
      <c r="H307" s="68" t="s">
        <v>43</v>
      </c>
      <c r="I307" s="7"/>
      <c r="J307" s="7"/>
      <c r="K307" s="8"/>
      <c r="L307" s="48"/>
    </row>
    <row r="308" spans="1:12" ht="12.75">
      <c r="A308" s="4"/>
      <c r="B308" s="67" t="s">
        <v>425</v>
      </c>
      <c r="C308" s="68"/>
      <c r="D308" s="68"/>
      <c r="E308" s="68"/>
      <c r="F308" s="68"/>
      <c r="G308" s="68"/>
      <c r="H308" s="68" t="s">
        <v>43</v>
      </c>
      <c r="I308" s="7"/>
      <c r="J308" s="7"/>
      <c r="K308" s="8"/>
      <c r="L308" s="48"/>
    </row>
    <row r="309" spans="1:12" ht="26.25">
      <c r="A309" s="4"/>
      <c r="B309" s="57" t="s">
        <v>426</v>
      </c>
      <c r="C309" s="34"/>
      <c r="D309" s="35"/>
      <c r="E309" s="35"/>
      <c r="F309" s="35"/>
      <c r="G309" s="34" t="s">
        <v>41</v>
      </c>
      <c r="H309" s="34"/>
      <c r="I309" s="24" t="s">
        <v>427</v>
      </c>
      <c r="J309" s="23"/>
      <c r="K309" s="8"/>
      <c r="L309" s="48"/>
    </row>
    <row r="310" spans="1:12" ht="12.75">
      <c r="A310" s="4"/>
      <c r="B310" s="67" t="s">
        <v>428</v>
      </c>
      <c r="C310" s="68"/>
      <c r="D310" s="68"/>
      <c r="E310" s="68"/>
      <c r="F310" s="68"/>
      <c r="G310" s="68"/>
      <c r="H310" s="68" t="s">
        <v>43</v>
      </c>
      <c r="I310" s="7"/>
      <c r="J310" s="7"/>
      <c r="K310" s="8"/>
      <c r="L310" s="48"/>
    </row>
    <row r="311" spans="2:12" ht="14.25" customHeight="1">
      <c r="B311" s="10"/>
      <c r="C311" s="10"/>
      <c r="D311" s="10"/>
      <c r="E311" s="10"/>
      <c r="F311" s="10"/>
      <c r="G311" s="10"/>
      <c r="H311" s="10"/>
      <c r="I311" s="29"/>
      <c r="J311" s="29"/>
      <c r="L311" s="48"/>
    </row>
    <row r="312" spans="1:12" ht="12.75">
      <c r="A312" s="4"/>
      <c r="B312" s="30" t="s">
        <v>429</v>
      </c>
      <c r="C312" s="19" t="s">
        <v>28</v>
      </c>
      <c r="D312" s="19"/>
      <c r="E312" s="19"/>
      <c r="F312" s="19"/>
      <c r="G312" s="31" t="s">
        <v>29</v>
      </c>
      <c r="H312" s="31"/>
      <c r="I312" s="32"/>
      <c r="J312" s="13"/>
      <c r="L312" s="48"/>
    </row>
    <row r="313" spans="1:12" ht="12.75">
      <c r="A313" s="4"/>
      <c r="B313" s="33" t="s">
        <v>32</v>
      </c>
      <c r="C313" s="23"/>
      <c r="D313" s="23" t="s">
        <v>33</v>
      </c>
      <c r="E313" s="23" t="s">
        <v>34</v>
      </c>
      <c r="F313" s="23" t="s">
        <v>35</v>
      </c>
      <c r="G313" s="33" t="s">
        <v>36</v>
      </c>
      <c r="H313" s="33" t="s">
        <v>37</v>
      </c>
      <c r="I313" s="33" t="s">
        <v>38</v>
      </c>
      <c r="J313" s="23" t="s">
        <v>39</v>
      </c>
      <c r="K313" s="8"/>
      <c r="L313" s="48"/>
    </row>
    <row r="314" spans="1:12" ht="26.25">
      <c r="A314" s="4"/>
      <c r="B314" s="57" t="s">
        <v>430</v>
      </c>
      <c r="C314" s="35"/>
      <c r="D314" s="35"/>
      <c r="E314" s="35"/>
      <c r="F314" s="35"/>
      <c r="G314" s="34" t="s">
        <v>41</v>
      </c>
      <c r="H314" s="22"/>
      <c r="I314" s="89" t="s">
        <v>216</v>
      </c>
      <c r="J314" s="23"/>
      <c r="K314" s="8"/>
      <c r="L314" s="48" t="s">
        <v>431</v>
      </c>
    </row>
    <row r="315" spans="1:12" ht="12.75">
      <c r="A315" s="4"/>
      <c r="B315" s="57" t="s">
        <v>432</v>
      </c>
      <c r="C315" s="35"/>
      <c r="D315" s="35"/>
      <c r="E315" s="35"/>
      <c r="F315" s="35"/>
      <c r="G315" s="34" t="s">
        <v>41</v>
      </c>
      <c r="H315" s="22"/>
      <c r="I315" s="22"/>
      <c r="J315" s="23"/>
      <c r="K315" s="8"/>
      <c r="L315" s="48" t="s">
        <v>433</v>
      </c>
    </row>
    <row r="316" spans="1:12" ht="12.75">
      <c r="A316" s="4"/>
      <c r="B316" s="57" t="s">
        <v>434</v>
      </c>
      <c r="C316" s="35"/>
      <c r="D316" s="35"/>
      <c r="E316" s="35"/>
      <c r="F316" s="35"/>
      <c r="G316" s="34" t="s">
        <v>41</v>
      </c>
      <c r="H316" s="22"/>
      <c r="I316" s="59">
        <f>HYPERLINK("TelephonyRecord!mapDatum","MapDatum")</f>
        <v>0</v>
      </c>
      <c r="J316" s="23"/>
      <c r="K316" s="8"/>
      <c r="L316" s="48" t="s">
        <v>435</v>
      </c>
    </row>
    <row r="317" spans="1:12" ht="12.75">
      <c r="A317" s="4"/>
      <c r="B317" s="57" t="s">
        <v>436</v>
      </c>
      <c r="C317" s="35"/>
      <c r="D317" s="35"/>
      <c r="E317" s="35"/>
      <c r="F317" s="35"/>
      <c r="G317" s="34" t="s">
        <v>41</v>
      </c>
      <c r="H317" s="22"/>
      <c r="I317" s="22" t="s">
        <v>437</v>
      </c>
      <c r="J317" s="23"/>
      <c r="K317" s="8"/>
      <c r="L317" s="48">
        <v>50</v>
      </c>
    </row>
    <row r="318" spans="2:12" ht="14.25" customHeight="1">
      <c r="B318" s="10"/>
      <c r="C318" s="10"/>
      <c r="D318" s="10"/>
      <c r="E318" s="10"/>
      <c r="F318" s="10"/>
      <c r="G318" s="10"/>
      <c r="H318" s="10"/>
      <c r="I318" s="29"/>
      <c r="J318" s="29"/>
      <c r="L318" s="48"/>
    </row>
    <row r="319" spans="1:12" ht="12.75">
      <c r="A319" s="4"/>
      <c r="B319" s="30" t="s">
        <v>438</v>
      </c>
      <c r="C319" s="19" t="s">
        <v>28</v>
      </c>
      <c r="D319" s="19"/>
      <c r="E319" s="19"/>
      <c r="F319" s="19"/>
      <c r="G319" s="31" t="s">
        <v>29</v>
      </c>
      <c r="H319" s="31"/>
      <c r="I319" s="32"/>
      <c r="J319" s="13"/>
      <c r="L319" s="48"/>
    </row>
    <row r="320" spans="1:12" ht="12.75">
      <c r="A320" s="4"/>
      <c r="B320" s="33" t="s">
        <v>32</v>
      </c>
      <c r="C320" s="23"/>
      <c r="D320" s="23" t="s">
        <v>33</v>
      </c>
      <c r="E320" s="23" t="s">
        <v>34</v>
      </c>
      <c r="F320" s="23" t="s">
        <v>35</v>
      </c>
      <c r="G320" s="33" t="s">
        <v>36</v>
      </c>
      <c r="H320" s="33" t="s">
        <v>37</v>
      </c>
      <c r="I320" s="33" t="s">
        <v>38</v>
      </c>
      <c r="J320" s="23" t="s">
        <v>39</v>
      </c>
      <c r="K320" s="8"/>
      <c r="L320" s="48"/>
    </row>
    <row r="321" spans="1:12" ht="12.75">
      <c r="A321" s="4"/>
      <c r="B321" s="57" t="s">
        <v>439</v>
      </c>
      <c r="C321" s="35"/>
      <c r="D321" s="35"/>
      <c r="E321" s="35"/>
      <c r="F321" s="35"/>
      <c r="G321" s="34" t="s">
        <v>41</v>
      </c>
      <c r="H321" s="22"/>
      <c r="I321" s="22"/>
      <c r="J321" s="23"/>
      <c r="K321" s="8"/>
      <c r="L321" s="48" t="s">
        <v>440</v>
      </c>
    </row>
    <row r="322" spans="1:12" ht="12.75">
      <c r="A322" s="4"/>
      <c r="B322" s="67" t="s">
        <v>441</v>
      </c>
      <c r="C322" s="68"/>
      <c r="D322" s="68"/>
      <c r="E322" s="68"/>
      <c r="F322" s="68"/>
      <c r="G322" s="68"/>
      <c r="H322" s="68" t="s">
        <v>43</v>
      </c>
      <c r="I322" s="7"/>
      <c r="J322" s="7"/>
      <c r="K322" s="8"/>
      <c r="L322" s="48"/>
    </row>
    <row r="323" spans="1:12" ht="12.75">
      <c r="A323" s="4"/>
      <c r="B323" s="67" t="s">
        <v>442</v>
      </c>
      <c r="C323" s="68"/>
      <c r="D323" s="68"/>
      <c r="E323" s="68"/>
      <c r="F323" s="68"/>
      <c r="G323" s="68"/>
      <c r="H323" s="68" t="s">
        <v>43</v>
      </c>
      <c r="I323" s="7"/>
      <c r="J323" s="7"/>
      <c r="K323" s="8"/>
      <c r="L323" s="48"/>
    </row>
    <row r="324" spans="1:12" ht="12.75">
      <c r="A324" s="4"/>
      <c r="B324" s="67" t="s">
        <v>443</v>
      </c>
      <c r="C324" s="68"/>
      <c r="D324" s="68"/>
      <c r="E324" s="68"/>
      <c r="F324" s="68"/>
      <c r="G324" s="68"/>
      <c r="H324" s="68" t="s">
        <v>43</v>
      </c>
      <c r="I324" s="7"/>
      <c r="J324" s="7"/>
      <c r="K324" s="8"/>
      <c r="L324" s="48"/>
    </row>
    <row r="325" spans="1:12" ht="12.75">
      <c r="A325" s="4"/>
      <c r="B325" s="67" t="s">
        <v>444</v>
      </c>
      <c r="C325" s="68"/>
      <c r="D325" s="68"/>
      <c r="E325" s="68"/>
      <c r="F325" s="68"/>
      <c r="G325" s="68"/>
      <c r="H325" s="68" t="s">
        <v>43</v>
      </c>
      <c r="I325" s="7"/>
      <c r="J325" s="7"/>
      <c r="K325" s="8"/>
      <c r="L325" s="48"/>
    </row>
    <row r="326" spans="1:12" ht="12.75">
      <c r="A326" s="4"/>
      <c r="B326" s="67" t="s">
        <v>445</v>
      </c>
      <c r="C326" s="68"/>
      <c r="D326" s="68"/>
      <c r="E326" s="68"/>
      <c r="F326" s="68"/>
      <c r="G326" s="68"/>
      <c r="H326" s="68" t="s">
        <v>43</v>
      </c>
      <c r="I326" s="7"/>
      <c r="J326" s="7"/>
      <c r="K326" s="8"/>
      <c r="L326" s="48"/>
    </row>
    <row r="327" spans="1:12" ht="12.75">
      <c r="A327" s="4"/>
      <c r="B327" s="67" t="s">
        <v>446</v>
      </c>
      <c r="C327" s="68"/>
      <c r="D327" s="68"/>
      <c r="E327" s="68"/>
      <c r="F327" s="68"/>
      <c r="G327" s="68"/>
      <c r="H327" s="68" t="s">
        <v>43</v>
      </c>
      <c r="I327" s="7"/>
      <c r="J327" s="7"/>
      <c r="K327" s="8"/>
      <c r="L327" s="48"/>
    </row>
    <row r="328" spans="1:12" ht="12.75">
      <c r="A328" s="4"/>
      <c r="B328" s="67" t="s">
        <v>447</v>
      </c>
      <c r="C328" s="68"/>
      <c r="D328" s="68"/>
      <c r="E328" s="68"/>
      <c r="F328" s="68"/>
      <c r="G328" s="68"/>
      <c r="H328" s="68" t="s">
        <v>43</v>
      </c>
      <c r="I328" s="7"/>
      <c r="J328" s="7"/>
      <c r="K328" s="8"/>
      <c r="L328" s="48"/>
    </row>
    <row r="329" spans="1:12" ht="12.75">
      <c r="A329" s="4"/>
      <c r="B329" s="67" t="s">
        <v>448</v>
      </c>
      <c r="C329" s="68"/>
      <c r="D329" s="68"/>
      <c r="E329" s="68"/>
      <c r="F329" s="68"/>
      <c r="G329" s="68"/>
      <c r="H329" s="68" t="s">
        <v>43</v>
      </c>
      <c r="I329" s="7"/>
      <c r="J329" s="7"/>
      <c r="K329" s="8"/>
      <c r="L329" s="48"/>
    </row>
    <row r="330" spans="1:12" ht="12.75">
      <c r="A330" s="4"/>
      <c r="B330" s="67" t="s">
        <v>449</v>
      </c>
      <c r="C330" s="68"/>
      <c r="D330" s="68"/>
      <c r="E330" s="68"/>
      <c r="F330" s="68"/>
      <c r="G330" s="68"/>
      <c r="H330" s="68" t="s">
        <v>43</v>
      </c>
      <c r="I330" s="7"/>
      <c r="J330" s="7"/>
      <c r="K330" s="8"/>
      <c r="L330" s="48"/>
    </row>
    <row r="331" spans="1:12" ht="12.75">
      <c r="A331" s="4"/>
      <c r="B331" s="67" t="s">
        <v>450</v>
      </c>
      <c r="C331" s="68"/>
      <c r="D331" s="68"/>
      <c r="E331" s="68"/>
      <c r="F331" s="68"/>
      <c r="G331" s="68"/>
      <c r="H331" s="68" t="s">
        <v>43</v>
      </c>
      <c r="I331" s="7"/>
      <c r="J331" s="7"/>
      <c r="K331" s="8"/>
      <c r="L331" s="48"/>
    </row>
    <row r="332" spans="1:12" ht="12.75">
      <c r="A332" s="4"/>
      <c r="B332" s="67" t="s">
        <v>451</v>
      </c>
      <c r="C332" s="68"/>
      <c r="D332" s="68"/>
      <c r="E332" s="68"/>
      <c r="F332" s="68"/>
      <c r="G332" s="68"/>
      <c r="H332" s="68" t="s">
        <v>43</v>
      </c>
      <c r="I332" s="7"/>
      <c r="J332" s="7"/>
      <c r="K332" s="8"/>
      <c r="L332" s="48"/>
    </row>
    <row r="333" spans="1:12" ht="12.75">
      <c r="A333" s="4"/>
      <c r="B333" s="57" t="s">
        <v>452</v>
      </c>
      <c r="C333" s="34"/>
      <c r="D333" s="35"/>
      <c r="E333" s="35"/>
      <c r="F333" s="35"/>
      <c r="G333" s="34" t="s">
        <v>41</v>
      </c>
      <c r="H333" s="22"/>
      <c r="I333" s="22"/>
      <c r="J333" s="23"/>
      <c r="K333" s="8"/>
      <c r="L333" s="48"/>
    </row>
    <row r="334" spans="2:12" ht="14.25" customHeight="1">
      <c r="B334" s="10"/>
      <c r="C334" s="10"/>
      <c r="D334" s="10"/>
      <c r="E334" s="10"/>
      <c r="F334" s="10"/>
      <c r="G334" s="10"/>
      <c r="H334" s="10"/>
      <c r="I334" s="29"/>
      <c r="J334" s="29"/>
      <c r="L334" s="48"/>
    </row>
    <row r="335" spans="1:12" ht="23.25">
      <c r="A335" s="4"/>
      <c r="B335" s="30" t="s">
        <v>453</v>
      </c>
      <c r="C335" s="19" t="s">
        <v>28</v>
      </c>
      <c r="D335" s="19"/>
      <c r="E335" s="19"/>
      <c r="F335" s="19"/>
      <c r="G335" s="31" t="s">
        <v>29</v>
      </c>
      <c r="H335" s="31"/>
      <c r="I335" s="32"/>
      <c r="J335" s="13"/>
      <c r="L335" s="48"/>
    </row>
    <row r="336" spans="1:12" ht="12.75">
      <c r="A336" s="4"/>
      <c r="B336" s="33" t="s">
        <v>32</v>
      </c>
      <c r="C336" s="23"/>
      <c r="D336" s="23" t="s">
        <v>33</v>
      </c>
      <c r="E336" s="23" t="s">
        <v>34</v>
      </c>
      <c r="F336" s="23" t="s">
        <v>35</v>
      </c>
      <c r="G336" s="33" t="s">
        <v>36</v>
      </c>
      <c r="H336" s="33" t="s">
        <v>37</v>
      </c>
      <c r="I336" s="33" t="s">
        <v>38</v>
      </c>
      <c r="J336" s="23" t="s">
        <v>39</v>
      </c>
      <c r="K336" s="8"/>
      <c r="L336" s="48"/>
    </row>
    <row r="337" spans="1:12" ht="12.75">
      <c r="A337" s="4"/>
      <c r="B337" s="57" t="s">
        <v>84</v>
      </c>
      <c r="C337" s="35"/>
      <c r="D337" s="35"/>
      <c r="E337" s="35"/>
      <c r="F337" s="35"/>
      <c r="G337" s="34" t="s">
        <v>41</v>
      </c>
      <c r="H337" s="22"/>
      <c r="I337" s="22"/>
      <c r="J337" s="23"/>
      <c r="K337" s="8"/>
      <c r="L337" s="48" t="s">
        <v>86</v>
      </c>
    </row>
    <row r="338" spans="1:12" ht="12.75">
      <c r="A338" s="4"/>
      <c r="B338" s="57" t="s">
        <v>85</v>
      </c>
      <c r="C338" s="35"/>
      <c r="D338" s="35"/>
      <c r="E338" s="35"/>
      <c r="F338" s="35"/>
      <c r="G338" s="34" t="s">
        <v>41</v>
      </c>
      <c r="H338" s="22"/>
      <c r="I338" s="22"/>
      <c r="J338" s="23"/>
      <c r="K338" s="8"/>
      <c r="L338" s="48" t="s">
        <v>86</v>
      </c>
    </row>
    <row r="339" spans="1:12" ht="12.75">
      <c r="A339" s="4"/>
      <c r="B339" s="57" t="s">
        <v>87</v>
      </c>
      <c r="C339" s="35"/>
      <c r="D339" s="35"/>
      <c r="E339" s="35"/>
      <c r="F339" s="35"/>
      <c r="G339" s="34" t="s">
        <v>41</v>
      </c>
      <c r="H339" s="22"/>
      <c r="I339" s="22"/>
      <c r="J339" s="23"/>
      <c r="K339" s="8"/>
      <c r="L339" s="48">
        <v>14</v>
      </c>
    </row>
    <row r="340" spans="1:12" ht="12.75">
      <c r="A340" s="4"/>
      <c r="B340" s="57" t="s">
        <v>89</v>
      </c>
      <c r="C340" s="35"/>
      <c r="D340" s="35"/>
      <c r="E340" s="35"/>
      <c r="F340" s="35"/>
      <c r="G340" s="34" t="s">
        <v>41</v>
      </c>
      <c r="H340" s="22"/>
      <c r="I340" s="22"/>
      <c r="J340" s="23"/>
      <c r="K340" s="8"/>
      <c r="L340" s="48" t="s">
        <v>454</v>
      </c>
    </row>
    <row r="341" spans="1:12" ht="12.75">
      <c r="A341" s="4"/>
      <c r="B341" s="57" t="s">
        <v>91</v>
      </c>
      <c r="C341" s="35"/>
      <c r="D341" s="35"/>
      <c r="E341" s="35"/>
      <c r="F341" s="35"/>
      <c r="G341" s="34" t="s">
        <v>41</v>
      </c>
      <c r="H341" s="22"/>
      <c r="I341" s="22"/>
      <c r="J341" s="23"/>
      <c r="K341" s="8"/>
      <c r="L341" s="48" t="s">
        <v>86</v>
      </c>
    </row>
    <row r="342" spans="1:12" ht="12.75">
      <c r="A342" s="4"/>
      <c r="B342" s="57" t="s">
        <v>93</v>
      </c>
      <c r="C342" s="35"/>
      <c r="D342" s="35"/>
      <c r="E342" s="35"/>
      <c r="F342" s="35"/>
      <c r="G342" s="34" t="s">
        <v>41</v>
      </c>
      <c r="H342" s="22"/>
      <c r="I342" s="22" t="s">
        <v>94</v>
      </c>
      <c r="J342" s="23"/>
      <c r="K342" s="8"/>
      <c r="L342" s="48">
        <v>9300</v>
      </c>
    </row>
    <row r="343" spans="1:12" ht="12.75">
      <c r="A343" s="4"/>
      <c r="B343" s="67" t="s">
        <v>95</v>
      </c>
      <c r="C343" s="68"/>
      <c r="D343" s="68"/>
      <c r="E343" s="68"/>
      <c r="F343" s="68"/>
      <c r="G343" s="68"/>
      <c r="H343" s="7" t="s">
        <v>43</v>
      </c>
      <c r="I343" s="7"/>
      <c r="J343" s="7"/>
      <c r="K343" s="8"/>
      <c r="L343" s="48"/>
    </row>
    <row r="344" spans="1:12" ht="27" customHeight="1">
      <c r="A344" s="4"/>
      <c r="B344" s="57" t="s">
        <v>96</v>
      </c>
      <c r="C344" s="34"/>
      <c r="D344" s="35"/>
      <c r="E344" s="35"/>
      <c r="F344" s="35"/>
      <c r="G344" s="34" t="s">
        <v>41</v>
      </c>
      <c r="H344" s="22"/>
      <c r="I344" s="18" t="s">
        <v>97</v>
      </c>
      <c r="J344" s="23"/>
      <c r="K344" s="8"/>
      <c r="L344" s="48" t="s">
        <v>455</v>
      </c>
    </row>
    <row r="345" spans="1:12" ht="12.75">
      <c r="A345" s="4"/>
      <c r="B345" s="67" t="s">
        <v>99</v>
      </c>
      <c r="C345" s="68"/>
      <c r="D345" s="68"/>
      <c r="E345" s="68"/>
      <c r="F345" s="68"/>
      <c r="G345" s="68"/>
      <c r="H345" s="7" t="s">
        <v>43</v>
      </c>
      <c r="I345" s="7"/>
      <c r="J345" s="7"/>
      <c r="K345" s="8"/>
      <c r="L345" s="48"/>
    </row>
    <row r="346" spans="1:12" ht="12.75">
      <c r="A346" s="4"/>
      <c r="B346" s="57" t="s">
        <v>100</v>
      </c>
      <c r="C346" s="34"/>
      <c r="D346" s="35"/>
      <c r="E346" s="35"/>
      <c r="F346" s="35"/>
      <c r="G346" s="34" t="s">
        <v>41</v>
      </c>
      <c r="H346" s="22"/>
      <c r="I346" s="22"/>
      <c r="J346" s="23"/>
      <c r="K346" s="8"/>
      <c r="L346" s="48" t="s">
        <v>456</v>
      </c>
    </row>
    <row r="347" spans="1:12" ht="12.75">
      <c r="A347" s="4"/>
      <c r="B347" s="57" t="s">
        <v>102</v>
      </c>
      <c r="C347" s="34"/>
      <c r="D347" s="35"/>
      <c r="E347" s="35"/>
      <c r="F347" s="35"/>
      <c r="G347" s="34" t="s">
        <v>41</v>
      </c>
      <c r="H347" s="22"/>
      <c r="I347" s="22"/>
      <c r="J347" s="23"/>
      <c r="K347" s="8"/>
      <c r="L347" s="48" t="s">
        <v>103</v>
      </c>
    </row>
    <row r="348" spans="1:12" ht="89.25" customHeight="1">
      <c r="A348" s="4"/>
      <c r="B348" s="67" t="s">
        <v>151</v>
      </c>
      <c r="C348" s="68"/>
      <c r="D348" s="68"/>
      <c r="E348" s="68"/>
      <c r="F348" s="68"/>
      <c r="G348" s="68"/>
      <c r="H348" s="21" t="s">
        <v>43</v>
      </c>
      <c r="I348" s="26" t="s">
        <v>457</v>
      </c>
      <c r="J348" s="7"/>
      <c r="K348" s="8"/>
      <c r="L348" s="48"/>
    </row>
    <row r="349" spans="2:12" ht="14.25" customHeight="1">
      <c r="B349" s="10"/>
      <c r="C349" s="10"/>
      <c r="D349" s="10"/>
      <c r="E349" s="10"/>
      <c r="F349" s="10"/>
      <c r="G349" s="10"/>
      <c r="H349" s="10"/>
      <c r="I349" s="29"/>
      <c r="J349" s="29"/>
      <c r="L349" s="48"/>
    </row>
    <row r="350" spans="1:12" ht="12.75">
      <c r="A350" s="4"/>
      <c r="B350" s="30" t="s">
        <v>458</v>
      </c>
      <c r="C350" s="19" t="s">
        <v>28</v>
      </c>
      <c r="D350" s="19"/>
      <c r="E350" s="19"/>
      <c r="F350" s="19"/>
      <c r="G350" s="31" t="s">
        <v>29</v>
      </c>
      <c r="H350" s="31"/>
      <c r="I350" s="32"/>
      <c r="J350" s="13"/>
      <c r="L350" s="48"/>
    </row>
    <row r="351" spans="1:12" ht="12.75">
      <c r="A351" s="4"/>
      <c r="B351" s="33" t="s">
        <v>32</v>
      </c>
      <c r="C351" s="23"/>
      <c r="D351" s="23" t="s">
        <v>33</v>
      </c>
      <c r="E351" s="23" t="s">
        <v>34</v>
      </c>
      <c r="F351" s="23" t="s">
        <v>35</v>
      </c>
      <c r="G351" s="33" t="s">
        <v>36</v>
      </c>
      <c r="H351" s="33" t="s">
        <v>37</v>
      </c>
      <c r="I351" s="33" t="s">
        <v>38</v>
      </c>
      <c r="J351" s="23" t="s">
        <v>39</v>
      </c>
      <c r="K351" s="8"/>
      <c r="L351" s="48"/>
    </row>
    <row r="352" spans="1:13" ht="12.75">
      <c r="A352" s="4"/>
      <c r="B352" s="57" t="s">
        <v>106</v>
      </c>
      <c r="C352" s="35"/>
      <c r="D352" s="35"/>
      <c r="E352" s="35"/>
      <c r="F352" s="35"/>
      <c r="G352" s="34" t="s">
        <v>41</v>
      </c>
      <c r="H352" s="22"/>
      <c r="I352" s="22"/>
      <c r="J352" s="23"/>
      <c r="K352" s="8"/>
      <c r="L352" s="48" t="s">
        <v>395</v>
      </c>
      <c r="M352" s="76" t="s">
        <v>459</v>
      </c>
    </row>
    <row r="353" spans="1:12" ht="12.75">
      <c r="A353" s="4"/>
      <c r="B353" s="57" t="s">
        <v>108</v>
      </c>
      <c r="C353" s="35"/>
      <c r="D353" s="35"/>
      <c r="E353" s="35"/>
      <c r="F353" s="35"/>
      <c r="G353" s="34" t="s">
        <v>41</v>
      </c>
      <c r="H353" s="22"/>
      <c r="I353" s="22"/>
      <c r="J353" s="23"/>
      <c r="K353" s="8"/>
      <c r="L353" s="48" t="s">
        <v>397</v>
      </c>
    </row>
    <row r="354" spans="1:12" ht="12.75">
      <c r="A354" s="4"/>
      <c r="B354" s="57" t="s">
        <v>109</v>
      </c>
      <c r="C354" s="35"/>
      <c r="D354" s="35"/>
      <c r="E354" s="35"/>
      <c r="F354" s="35"/>
      <c r="G354" s="34" t="s">
        <v>41</v>
      </c>
      <c r="H354" s="22"/>
      <c r="I354" s="22"/>
      <c r="J354" s="23"/>
      <c r="K354" s="8"/>
      <c r="L354" s="48">
        <v>1187</v>
      </c>
    </row>
    <row r="355" spans="2:12" ht="14.25" customHeight="1">
      <c r="B355" s="10"/>
      <c r="C355" s="10"/>
      <c r="D355" s="10"/>
      <c r="E355" s="10"/>
      <c r="F355" s="10"/>
      <c r="G355" s="10"/>
      <c r="H355" s="10"/>
      <c r="I355" s="29"/>
      <c r="J355" s="29"/>
      <c r="L355" s="48"/>
    </row>
    <row r="356" spans="1:12" ht="12.75">
      <c r="A356" s="4"/>
      <c r="B356" s="30" t="s">
        <v>460</v>
      </c>
      <c r="C356" s="19" t="s">
        <v>28</v>
      </c>
      <c r="D356" s="19"/>
      <c r="E356" s="19"/>
      <c r="F356" s="19"/>
      <c r="G356" s="31" t="s">
        <v>29</v>
      </c>
      <c r="H356" s="31"/>
      <c r="I356" s="32"/>
      <c r="J356" s="13"/>
      <c r="L356" s="48"/>
    </row>
    <row r="357" spans="1:12" ht="12.75">
      <c r="A357" s="4"/>
      <c r="B357" s="33" t="s">
        <v>32</v>
      </c>
      <c r="C357" s="23"/>
      <c r="D357" s="23" t="s">
        <v>33</v>
      </c>
      <c r="E357" s="23" t="s">
        <v>34</v>
      </c>
      <c r="F357" s="23" t="s">
        <v>35</v>
      </c>
      <c r="G357" s="33" t="s">
        <v>36</v>
      </c>
      <c r="H357" s="33" t="s">
        <v>37</v>
      </c>
      <c r="I357" s="33" t="s">
        <v>38</v>
      </c>
      <c r="J357" s="23" t="s">
        <v>39</v>
      </c>
      <c r="K357" s="8"/>
      <c r="L357" s="48"/>
    </row>
    <row r="358" spans="1:12" ht="12.75">
      <c r="A358" s="4"/>
      <c r="B358" s="57" t="s">
        <v>461</v>
      </c>
      <c r="C358" s="35"/>
      <c r="D358" s="35"/>
      <c r="E358" s="35"/>
      <c r="F358" s="35"/>
      <c r="G358" s="34" t="s">
        <v>41</v>
      </c>
      <c r="H358" s="22"/>
      <c r="I358" s="22"/>
      <c r="J358" s="23"/>
      <c r="K358" s="8"/>
      <c r="L358" s="48"/>
    </row>
    <row r="359" spans="1:12" ht="12.75">
      <c r="A359" s="4"/>
      <c r="B359" s="57" t="s">
        <v>462</v>
      </c>
      <c r="C359" s="35"/>
      <c r="D359" s="35"/>
      <c r="E359" s="35"/>
      <c r="F359" s="35"/>
      <c r="G359" s="34" t="s">
        <v>41</v>
      </c>
      <c r="H359" s="22"/>
      <c r="I359" s="22"/>
      <c r="J359" s="23"/>
      <c r="K359" s="8"/>
      <c r="L359" s="48" t="s">
        <v>463</v>
      </c>
    </row>
    <row r="360" spans="1:12" ht="12.75">
      <c r="A360" s="4"/>
      <c r="B360" s="57" t="s">
        <v>464</v>
      </c>
      <c r="C360" s="35"/>
      <c r="D360" s="35"/>
      <c r="E360" s="35"/>
      <c r="F360" s="35"/>
      <c r="G360" s="34" t="s">
        <v>41</v>
      </c>
      <c r="H360" s="22"/>
      <c r="I360" s="22"/>
      <c r="J360" s="23"/>
      <c r="K360" s="8"/>
      <c r="L360" s="48"/>
    </row>
    <row r="361" spans="1:12" ht="12.75">
      <c r="A361" s="4"/>
      <c r="B361" s="57" t="s">
        <v>465</v>
      </c>
      <c r="C361" s="35"/>
      <c r="D361" s="35"/>
      <c r="E361" s="35"/>
      <c r="F361" s="35"/>
      <c r="G361" s="34" t="s">
        <v>41</v>
      </c>
      <c r="H361" s="22"/>
      <c r="I361" s="22"/>
      <c r="J361" s="23"/>
      <c r="K361" s="8"/>
      <c r="L361" s="48"/>
    </row>
    <row r="362" spans="2:12" ht="14.25" customHeight="1">
      <c r="B362" s="10"/>
      <c r="C362" s="10"/>
      <c r="D362" s="10"/>
      <c r="E362" s="10"/>
      <c r="F362" s="10"/>
      <c r="G362" s="10"/>
      <c r="H362" s="10"/>
      <c r="I362" s="29"/>
      <c r="J362" s="29"/>
      <c r="L362" s="48"/>
    </row>
    <row r="363" spans="1:12" ht="12.75">
      <c r="A363" s="4"/>
      <c r="B363" s="30" t="s">
        <v>466</v>
      </c>
      <c r="C363" s="19" t="s">
        <v>28</v>
      </c>
      <c r="D363" s="19"/>
      <c r="E363" s="19"/>
      <c r="F363" s="19"/>
      <c r="G363" s="31" t="s">
        <v>29</v>
      </c>
      <c r="H363" s="31"/>
      <c r="I363" s="32"/>
      <c r="J363" s="13"/>
      <c r="L363" s="48"/>
    </row>
    <row r="364" spans="1:12" ht="12.75">
      <c r="A364" s="4"/>
      <c r="B364" s="33" t="s">
        <v>32</v>
      </c>
      <c r="C364" s="23"/>
      <c r="D364" s="23" t="s">
        <v>33</v>
      </c>
      <c r="E364" s="23" t="s">
        <v>34</v>
      </c>
      <c r="F364" s="23" t="s">
        <v>35</v>
      </c>
      <c r="G364" s="33" t="s">
        <v>36</v>
      </c>
      <c r="H364" s="33" t="s">
        <v>37</v>
      </c>
      <c r="I364" s="33" t="s">
        <v>38</v>
      </c>
      <c r="J364" s="23" t="s">
        <v>39</v>
      </c>
      <c r="K364" s="8"/>
      <c r="L364" s="48"/>
    </row>
    <row r="365" spans="1:12" ht="12.75">
      <c r="A365" s="4"/>
      <c r="B365" s="57" t="s">
        <v>467</v>
      </c>
      <c r="C365" s="35"/>
      <c r="D365" s="35"/>
      <c r="E365" s="35"/>
      <c r="F365" s="35"/>
      <c r="G365" s="34" t="s">
        <v>41</v>
      </c>
      <c r="H365" s="22"/>
      <c r="I365" s="22"/>
      <c r="J365" s="23"/>
      <c r="K365" s="8"/>
      <c r="L365" s="48" t="s">
        <v>468</v>
      </c>
    </row>
    <row r="366" spans="1:12" ht="12.75">
      <c r="A366" s="4"/>
      <c r="B366" s="57" t="s">
        <v>469</v>
      </c>
      <c r="C366" s="35"/>
      <c r="D366" s="35"/>
      <c r="E366" s="35"/>
      <c r="F366" s="35"/>
      <c r="G366" s="34" t="s">
        <v>41</v>
      </c>
      <c r="H366" s="22"/>
      <c r="I366" s="22"/>
      <c r="J366" s="23"/>
      <c r="K366" s="8"/>
      <c r="L366" s="48"/>
    </row>
    <row r="367" spans="1:12" ht="12.75">
      <c r="A367" s="4"/>
      <c r="B367" s="57" t="s">
        <v>470</v>
      </c>
      <c r="C367" s="35"/>
      <c r="D367" s="35"/>
      <c r="E367" s="35"/>
      <c r="F367" s="35"/>
      <c r="G367" s="34" t="s">
        <v>41</v>
      </c>
      <c r="H367" s="22"/>
      <c r="I367" s="22"/>
      <c r="J367" s="23"/>
      <c r="K367" s="8"/>
      <c r="L367" s="48"/>
    </row>
    <row r="368" spans="2:12" ht="14.25" customHeight="1">
      <c r="B368" s="10"/>
      <c r="C368" s="10"/>
      <c r="D368" s="10"/>
      <c r="E368" s="10"/>
      <c r="F368" s="10"/>
      <c r="G368" s="10"/>
      <c r="H368" s="10"/>
      <c r="I368" s="29"/>
      <c r="J368" s="29"/>
      <c r="L368" s="48"/>
    </row>
    <row r="369" spans="1:12" ht="12.75">
      <c r="A369" s="4"/>
      <c r="B369" s="30" t="s">
        <v>471</v>
      </c>
      <c r="C369" s="19" t="s">
        <v>28</v>
      </c>
      <c r="D369" s="19"/>
      <c r="E369" s="19"/>
      <c r="F369" s="19"/>
      <c r="G369" s="31" t="s">
        <v>29</v>
      </c>
      <c r="H369" s="31"/>
      <c r="I369" s="32"/>
      <c r="J369" s="13"/>
      <c r="L369" s="48"/>
    </row>
    <row r="370" spans="1:12" ht="12.75">
      <c r="A370" s="4"/>
      <c r="B370" s="33" t="s">
        <v>32</v>
      </c>
      <c r="C370" s="23"/>
      <c r="D370" s="23" t="s">
        <v>33</v>
      </c>
      <c r="E370" s="23" t="s">
        <v>34</v>
      </c>
      <c r="F370" s="23" t="s">
        <v>35</v>
      </c>
      <c r="G370" s="33" t="s">
        <v>36</v>
      </c>
      <c r="H370" s="33" t="s">
        <v>37</v>
      </c>
      <c r="I370" s="33" t="s">
        <v>38</v>
      </c>
      <c r="J370" s="23" t="s">
        <v>39</v>
      </c>
      <c r="K370" s="8"/>
      <c r="L370" s="48"/>
    </row>
    <row r="371" spans="1:12" ht="12.75">
      <c r="A371" s="4"/>
      <c r="B371" s="57" t="s">
        <v>472</v>
      </c>
      <c r="C371" s="35"/>
      <c r="D371" s="35"/>
      <c r="E371" s="35"/>
      <c r="F371" s="35"/>
      <c r="G371" s="34" t="s">
        <v>41</v>
      </c>
      <c r="H371" s="22"/>
      <c r="I371" s="59">
        <f>HYPERLINK("TelephonyRecord!smsEvent","smsEvent")</f>
        <v>0</v>
      </c>
      <c r="J371" s="23"/>
      <c r="K371" s="8"/>
      <c r="L371" s="48" t="s">
        <v>86</v>
      </c>
    </row>
    <row r="372" spans="1:12" ht="12.75">
      <c r="A372" s="4"/>
      <c r="B372" s="57" t="s">
        <v>473</v>
      </c>
      <c r="C372" s="35"/>
      <c r="D372" s="35"/>
      <c r="E372" s="35"/>
      <c r="F372" s="35"/>
      <c r="G372" s="34" t="s">
        <v>41</v>
      </c>
      <c r="H372" s="22"/>
      <c r="I372" s="59">
        <f>HYPERLINK("TelephonyRecord!smsType","smsType")</f>
        <v>0</v>
      </c>
      <c r="J372" s="23"/>
      <c r="K372" s="8"/>
      <c r="L372" s="48"/>
    </row>
    <row r="373" spans="1:12" ht="12.75">
      <c r="A373" s="4"/>
      <c r="B373" s="57" t="s">
        <v>474</v>
      </c>
      <c r="C373" s="35"/>
      <c r="D373" s="35"/>
      <c r="E373" s="35"/>
      <c r="F373" s="35"/>
      <c r="G373" s="34" t="s">
        <v>41</v>
      </c>
      <c r="H373" s="22"/>
      <c r="I373" s="59">
        <f>HYPERLINK("TelephonyRecord!smsStatus","smsStatus")</f>
        <v>0</v>
      </c>
      <c r="J373" s="23"/>
      <c r="K373" s="8"/>
      <c r="L373" s="48"/>
    </row>
    <row r="374" spans="1:12" ht="12.75">
      <c r="A374" s="4"/>
      <c r="B374" s="57" t="s">
        <v>475</v>
      </c>
      <c r="C374" s="35"/>
      <c r="D374" s="35"/>
      <c r="E374" s="35"/>
      <c r="F374" s="35"/>
      <c r="G374" s="34" t="s">
        <v>41</v>
      </c>
      <c r="H374" s="22"/>
      <c r="I374" s="91" t="s">
        <v>476</v>
      </c>
      <c r="J374" s="23"/>
      <c r="K374" s="8"/>
      <c r="L374" s="48"/>
    </row>
    <row r="375" spans="1:12" ht="12.75">
      <c r="A375" s="4"/>
      <c r="B375" s="57" t="s">
        <v>477</v>
      </c>
      <c r="C375" s="35"/>
      <c r="D375" s="35"/>
      <c r="E375" s="35"/>
      <c r="F375" s="35"/>
      <c r="G375" s="34" t="s">
        <v>41</v>
      </c>
      <c r="H375" s="22"/>
      <c r="I375" s="22"/>
      <c r="J375" s="23"/>
      <c r="K375" s="8"/>
      <c r="L375" s="48"/>
    </row>
    <row r="376" spans="1:12" ht="12.75">
      <c r="A376" s="4"/>
      <c r="B376" s="57" t="s">
        <v>478</v>
      </c>
      <c r="C376" s="35"/>
      <c r="D376" s="35"/>
      <c r="E376" s="35"/>
      <c r="F376" s="35"/>
      <c r="G376" s="34" t="s">
        <v>41</v>
      </c>
      <c r="H376" s="22"/>
      <c r="I376" s="22"/>
      <c r="J376" s="23"/>
      <c r="K376" s="8"/>
      <c r="L376" s="48"/>
    </row>
    <row r="377" spans="1:12" ht="12.75">
      <c r="A377" s="4"/>
      <c r="B377" s="57" t="s">
        <v>479</v>
      </c>
      <c r="C377" s="35"/>
      <c r="D377" s="35"/>
      <c r="E377" s="35"/>
      <c r="F377" s="35"/>
      <c r="G377" s="34" t="s">
        <v>41</v>
      </c>
      <c r="H377" s="22"/>
      <c r="I377" s="91" t="s">
        <v>476</v>
      </c>
      <c r="J377" s="23"/>
      <c r="K377" s="8"/>
      <c r="L377" s="48"/>
    </row>
    <row r="378" spans="2:12" ht="12.75">
      <c r="B378" s="10"/>
      <c r="C378" s="92"/>
      <c r="D378" s="10"/>
      <c r="E378" s="10"/>
      <c r="F378" s="10"/>
      <c r="G378" s="10"/>
      <c r="H378" s="10"/>
      <c r="I378" s="29"/>
      <c r="J378" s="29"/>
      <c r="L378" s="48"/>
    </row>
    <row r="379" spans="1:12" ht="12.75">
      <c r="A379" s="4"/>
      <c r="B379" s="30" t="s">
        <v>480</v>
      </c>
      <c r="C379" s="19" t="s">
        <v>28</v>
      </c>
      <c r="D379" s="19"/>
      <c r="E379" s="19"/>
      <c r="F379" s="19"/>
      <c r="G379" s="31" t="s">
        <v>29</v>
      </c>
      <c r="H379" s="31"/>
      <c r="I379" s="32"/>
      <c r="J379" s="13"/>
      <c r="L379" s="48"/>
    </row>
    <row r="380" spans="1:12" ht="12.75">
      <c r="A380" s="4"/>
      <c r="B380" s="33" t="s">
        <v>32</v>
      </c>
      <c r="C380" s="23"/>
      <c r="D380" s="23" t="s">
        <v>33</v>
      </c>
      <c r="E380" s="23" t="s">
        <v>34</v>
      </c>
      <c r="F380" s="23" t="s">
        <v>35</v>
      </c>
      <c r="G380" s="33" t="s">
        <v>36</v>
      </c>
      <c r="H380" s="33" t="s">
        <v>37</v>
      </c>
      <c r="I380" s="33" t="s">
        <v>38</v>
      </c>
      <c r="J380" s="23" t="s">
        <v>39</v>
      </c>
      <c r="K380" s="8"/>
      <c r="L380" s="48"/>
    </row>
    <row r="381" spans="1:12" ht="12.75">
      <c r="A381" s="4"/>
      <c r="B381" s="57" t="s">
        <v>481</v>
      </c>
      <c r="C381" s="35"/>
      <c r="D381" s="35"/>
      <c r="E381" s="35"/>
      <c r="F381" s="35"/>
      <c r="G381" s="34" t="s">
        <v>41</v>
      </c>
      <c r="H381" s="22"/>
      <c r="I381" s="22"/>
      <c r="J381" s="23"/>
      <c r="K381" s="8"/>
      <c r="L381" s="48" t="s">
        <v>86</v>
      </c>
    </row>
    <row r="382" spans="1:12" ht="12.75">
      <c r="A382" s="4"/>
      <c r="B382" s="57" t="s">
        <v>482</v>
      </c>
      <c r="C382" s="35"/>
      <c r="D382" s="35"/>
      <c r="E382" s="35"/>
      <c r="F382" s="35"/>
      <c r="G382" s="34" t="s">
        <v>41</v>
      </c>
      <c r="H382" s="22"/>
      <c r="I382" s="22"/>
      <c r="J382" s="23"/>
      <c r="K382" s="8"/>
      <c r="L382" s="48"/>
    </row>
    <row r="383" spans="1:12" ht="12.75">
      <c r="A383" s="4"/>
      <c r="B383" s="57" t="s">
        <v>483</v>
      </c>
      <c r="C383" s="35"/>
      <c r="D383" s="35"/>
      <c r="E383" s="35"/>
      <c r="F383" s="35"/>
      <c r="G383" s="34" t="s">
        <v>41</v>
      </c>
      <c r="H383" s="22"/>
      <c r="I383" s="22"/>
      <c r="J383" s="23"/>
      <c r="K383" s="8"/>
      <c r="L383" s="48"/>
    </row>
    <row r="384" spans="1:12" ht="12.75">
      <c r="A384" s="4"/>
      <c r="B384" s="57" t="s">
        <v>484</v>
      </c>
      <c r="C384" s="35"/>
      <c r="D384" s="35"/>
      <c r="E384" s="35"/>
      <c r="F384" s="35"/>
      <c r="G384" s="34" t="s">
        <v>41</v>
      </c>
      <c r="H384" s="22"/>
      <c r="I384" s="22"/>
      <c r="J384" s="23"/>
      <c r="K384" s="8"/>
      <c r="L384" s="48"/>
    </row>
    <row r="385" spans="2:12" ht="14.25" customHeight="1">
      <c r="B385" s="10"/>
      <c r="C385" s="10"/>
      <c r="D385" s="10"/>
      <c r="E385" s="10"/>
      <c r="F385" s="10"/>
      <c r="G385" s="10"/>
      <c r="H385" s="10"/>
      <c r="I385" s="29"/>
      <c r="J385" s="29"/>
      <c r="L385" s="48"/>
    </row>
    <row r="386" spans="1:12" ht="12.75">
      <c r="A386" s="4"/>
      <c r="B386" s="30" t="s">
        <v>485</v>
      </c>
      <c r="C386" s="19" t="s">
        <v>28</v>
      </c>
      <c r="D386" s="19"/>
      <c r="E386" s="19"/>
      <c r="F386" s="19"/>
      <c r="G386" s="31" t="s">
        <v>29</v>
      </c>
      <c r="H386" s="31"/>
      <c r="I386" s="32"/>
      <c r="J386" s="13"/>
      <c r="L386" s="48"/>
    </row>
    <row r="387" spans="1:12" ht="12.75">
      <c r="A387" s="4"/>
      <c r="B387" s="33" t="s">
        <v>32</v>
      </c>
      <c r="C387" s="23"/>
      <c r="D387" s="23" t="s">
        <v>33</v>
      </c>
      <c r="E387" s="23" t="s">
        <v>34</v>
      </c>
      <c r="F387" s="23" t="s">
        <v>35</v>
      </c>
      <c r="G387" s="33" t="s">
        <v>36</v>
      </c>
      <c r="H387" s="33" t="s">
        <v>37</v>
      </c>
      <c r="I387" s="33" t="s">
        <v>38</v>
      </c>
      <c r="J387" s="23" t="s">
        <v>39</v>
      </c>
      <c r="K387" s="8"/>
      <c r="L387" s="48"/>
    </row>
    <row r="388" spans="1:12" ht="12.75" customHeight="1">
      <c r="A388" s="4"/>
      <c r="B388" s="57" t="s">
        <v>486</v>
      </c>
      <c r="C388" s="35"/>
      <c r="D388" s="35"/>
      <c r="E388" s="35"/>
      <c r="F388" s="35"/>
      <c r="G388" s="34" t="s">
        <v>41</v>
      </c>
      <c r="H388" s="22"/>
      <c r="I388" s="24" t="s">
        <v>487</v>
      </c>
      <c r="J388" s="23"/>
      <c r="K388" s="8"/>
      <c r="L388" s="48" t="s">
        <v>86</v>
      </c>
    </row>
    <row r="389" spans="1:12" ht="12.75">
      <c r="A389" s="4"/>
      <c r="B389" s="57" t="s">
        <v>488</v>
      </c>
      <c r="C389" s="35"/>
      <c r="D389" s="35"/>
      <c r="E389" s="35"/>
      <c r="F389" s="35"/>
      <c r="G389" s="34" t="s">
        <v>41</v>
      </c>
      <c r="H389" s="22"/>
      <c r="I389" s="24"/>
      <c r="J389" s="23"/>
      <c r="K389" s="8"/>
      <c r="L389" s="48"/>
    </row>
    <row r="390" spans="1:12" ht="12.75">
      <c r="A390" s="4"/>
      <c r="B390" s="57" t="s">
        <v>489</v>
      </c>
      <c r="C390" s="35"/>
      <c r="D390" s="35"/>
      <c r="E390" s="35"/>
      <c r="F390" s="35"/>
      <c r="G390" s="34" t="s">
        <v>41</v>
      </c>
      <c r="H390" s="22"/>
      <c r="I390" s="24"/>
      <c r="J390" s="23"/>
      <c r="K390" s="8"/>
      <c r="L390" s="48"/>
    </row>
    <row r="391" spans="1:12" ht="12.75">
      <c r="A391" s="4"/>
      <c r="B391" s="57" t="s">
        <v>490</v>
      </c>
      <c r="C391" s="35"/>
      <c r="D391" s="35"/>
      <c r="E391" s="35"/>
      <c r="F391" s="35"/>
      <c r="G391" s="34" t="s">
        <v>41</v>
      </c>
      <c r="H391" s="22"/>
      <c r="I391" s="24"/>
      <c r="J391" s="23"/>
      <c r="K391" s="8"/>
      <c r="L391" s="48"/>
    </row>
    <row r="392" spans="1:12" ht="12.75">
      <c r="A392" s="4"/>
      <c r="B392" s="57" t="s">
        <v>491</v>
      </c>
      <c r="C392" s="35"/>
      <c r="D392" s="35"/>
      <c r="E392" s="35"/>
      <c r="F392" s="35"/>
      <c r="G392" s="34" t="s">
        <v>41</v>
      </c>
      <c r="H392" s="22"/>
      <c r="I392" s="24"/>
      <c r="J392" s="23"/>
      <c r="K392" s="8"/>
      <c r="L392" s="48"/>
    </row>
    <row r="393" spans="1:12" ht="12.75">
      <c r="A393" s="4"/>
      <c r="B393" s="57" t="s">
        <v>492</v>
      </c>
      <c r="C393" s="35"/>
      <c r="D393" s="35"/>
      <c r="E393" s="35"/>
      <c r="F393" s="35"/>
      <c r="G393" s="34" t="s">
        <v>41</v>
      </c>
      <c r="H393" s="22"/>
      <c r="I393" s="24"/>
      <c r="J393" s="23"/>
      <c r="K393" s="8"/>
      <c r="L393" s="48"/>
    </row>
    <row r="394" spans="1:12" ht="87.75" customHeight="1">
      <c r="A394" s="4"/>
      <c r="B394" s="57" t="s">
        <v>493</v>
      </c>
      <c r="C394" s="35"/>
      <c r="D394" s="35"/>
      <c r="E394" s="35"/>
      <c r="F394" s="35"/>
      <c r="G394" s="34" t="s">
        <v>41</v>
      </c>
      <c r="H394" s="22"/>
      <c r="I394" s="24"/>
      <c r="J394" s="23"/>
      <c r="K394" s="8"/>
      <c r="L394" s="48"/>
    </row>
    <row r="395" spans="2:12" ht="14.25" customHeight="1">
      <c r="B395" s="10"/>
      <c r="C395" s="10"/>
      <c r="D395" s="10"/>
      <c r="E395" s="10"/>
      <c r="F395" s="10"/>
      <c r="G395" s="10"/>
      <c r="H395" s="10"/>
      <c r="J395" s="29"/>
      <c r="L395" s="48"/>
    </row>
    <row r="396" spans="1:12" ht="12.75">
      <c r="A396" s="4"/>
      <c r="B396" s="30" t="s">
        <v>494</v>
      </c>
      <c r="C396" s="19" t="s">
        <v>28</v>
      </c>
      <c r="D396" s="19"/>
      <c r="E396" s="19"/>
      <c r="F396" s="19"/>
      <c r="G396" s="31" t="s">
        <v>29</v>
      </c>
      <c r="H396" s="31"/>
      <c r="I396" s="32"/>
      <c r="J396" s="13"/>
      <c r="L396" s="48"/>
    </row>
    <row r="397" spans="1:12" ht="12.75">
      <c r="A397" s="4"/>
      <c r="B397" s="33" t="s">
        <v>32</v>
      </c>
      <c r="C397" s="23"/>
      <c r="D397" s="23" t="s">
        <v>33</v>
      </c>
      <c r="E397" s="23" t="s">
        <v>34</v>
      </c>
      <c r="F397" s="23" t="s">
        <v>35</v>
      </c>
      <c r="G397" s="33" t="s">
        <v>36</v>
      </c>
      <c r="H397" s="33" t="s">
        <v>37</v>
      </c>
      <c r="I397" s="33" t="s">
        <v>38</v>
      </c>
      <c r="J397" s="23" t="s">
        <v>39</v>
      </c>
      <c r="K397" s="8"/>
      <c r="L397" s="48"/>
    </row>
    <row r="398" spans="1:12" ht="12.75">
      <c r="A398" s="4"/>
      <c r="B398" s="57" t="s">
        <v>495</v>
      </c>
      <c r="C398" s="35"/>
      <c r="D398" s="35"/>
      <c r="E398" s="35"/>
      <c r="F398" s="35"/>
      <c r="G398" s="34" t="s">
        <v>41</v>
      </c>
      <c r="H398" s="22"/>
      <c r="I398" s="22"/>
      <c r="J398" s="23"/>
      <c r="K398" s="8"/>
      <c r="L398" s="48" t="s">
        <v>86</v>
      </c>
    </row>
    <row r="399" spans="1:12" ht="12.75">
      <c r="A399" s="4"/>
      <c r="B399" s="57" t="s">
        <v>496</v>
      </c>
      <c r="C399" s="35"/>
      <c r="D399" s="35"/>
      <c r="E399" s="35"/>
      <c r="F399" s="35"/>
      <c r="G399" s="34" t="s">
        <v>41</v>
      </c>
      <c r="H399" s="22"/>
      <c r="I399" s="22"/>
      <c r="J399" s="23"/>
      <c r="K399" s="8"/>
      <c r="L399" s="48"/>
    </row>
    <row r="400" spans="1:12" ht="12.75">
      <c r="A400" s="4"/>
      <c r="B400" s="57" t="s">
        <v>497</v>
      </c>
      <c r="C400" s="35"/>
      <c r="D400" s="35"/>
      <c r="E400" s="35"/>
      <c r="F400" s="35"/>
      <c r="G400" s="34" t="s">
        <v>41</v>
      </c>
      <c r="H400" s="22"/>
      <c r="I400" s="22"/>
      <c r="J400" s="23"/>
      <c r="K400" s="8"/>
      <c r="L400" s="48"/>
    </row>
    <row r="401" spans="1:12" ht="12.75">
      <c r="A401" s="4"/>
      <c r="B401" s="57" t="s">
        <v>498</v>
      </c>
      <c r="C401" s="35"/>
      <c r="D401" s="35"/>
      <c r="E401" s="35"/>
      <c r="F401" s="35"/>
      <c r="G401" s="34" t="s">
        <v>41</v>
      </c>
      <c r="H401" s="22"/>
      <c r="I401" s="22"/>
      <c r="J401" s="23"/>
      <c r="K401" s="8"/>
      <c r="L401" s="48"/>
    </row>
    <row r="402" spans="1:12" ht="12.75">
      <c r="A402" s="4"/>
      <c r="B402" s="57" t="s">
        <v>499</v>
      </c>
      <c r="C402" s="35"/>
      <c r="D402" s="35"/>
      <c r="E402" s="35"/>
      <c r="F402" s="35"/>
      <c r="G402" s="34" t="s">
        <v>41</v>
      </c>
      <c r="H402" s="22"/>
      <c r="I402" s="22"/>
      <c r="J402" s="23"/>
      <c r="K402" s="8"/>
      <c r="L402" s="48"/>
    </row>
    <row r="403" spans="1:12" ht="12.75">
      <c r="A403" s="4"/>
      <c r="B403" s="57" t="s">
        <v>500</v>
      </c>
      <c r="C403" s="35"/>
      <c r="D403" s="35"/>
      <c r="E403" s="35"/>
      <c r="F403" s="35"/>
      <c r="G403" s="34" t="s">
        <v>41</v>
      </c>
      <c r="H403" s="22"/>
      <c r="I403" s="22"/>
      <c r="J403" s="23"/>
      <c r="K403" s="8"/>
      <c r="L403" s="48"/>
    </row>
    <row r="404" spans="1:12" ht="12.75">
      <c r="A404" s="4"/>
      <c r="B404" s="57" t="s">
        <v>501</v>
      </c>
      <c r="C404" s="35"/>
      <c r="D404" s="35"/>
      <c r="E404" s="35"/>
      <c r="F404" s="35"/>
      <c r="G404" s="34" t="s">
        <v>41</v>
      </c>
      <c r="H404" s="22"/>
      <c r="I404" s="22"/>
      <c r="J404" s="23"/>
      <c r="K404" s="8"/>
      <c r="L404" s="48"/>
    </row>
    <row r="405" spans="1:12" ht="12.75">
      <c r="A405" s="4"/>
      <c r="B405" s="57" t="s">
        <v>502</v>
      </c>
      <c r="C405" s="35"/>
      <c r="D405" s="35"/>
      <c r="E405" s="35"/>
      <c r="F405" s="35"/>
      <c r="G405" s="34" t="s">
        <v>41</v>
      </c>
      <c r="H405" s="22"/>
      <c r="I405" s="22"/>
      <c r="J405" s="23"/>
      <c r="K405" s="8"/>
      <c r="L405" s="48"/>
    </row>
    <row r="406" spans="2:12" ht="14.25" customHeight="1">
      <c r="B406" s="10"/>
      <c r="C406" s="10"/>
      <c r="D406" s="10"/>
      <c r="E406" s="10"/>
      <c r="F406" s="10"/>
      <c r="G406" s="10"/>
      <c r="H406" s="10"/>
      <c r="I406" s="29"/>
      <c r="J406" s="29"/>
      <c r="L406" s="48"/>
    </row>
    <row r="407" spans="1:12" ht="12.75">
      <c r="A407" s="4"/>
      <c r="B407" s="30" t="s">
        <v>503</v>
      </c>
      <c r="C407" s="19" t="s">
        <v>28</v>
      </c>
      <c r="D407" s="19"/>
      <c r="E407" s="19"/>
      <c r="F407" s="19"/>
      <c r="G407" s="31" t="s">
        <v>29</v>
      </c>
      <c r="H407" s="31"/>
      <c r="I407" s="32"/>
      <c r="J407" s="13"/>
      <c r="L407" s="48"/>
    </row>
    <row r="408" spans="1:12" ht="12.75">
      <c r="A408" s="4"/>
      <c r="B408" s="33" t="s">
        <v>32</v>
      </c>
      <c r="C408" s="23"/>
      <c r="D408" s="23" t="s">
        <v>33</v>
      </c>
      <c r="E408" s="23" t="s">
        <v>34</v>
      </c>
      <c r="F408" s="23" t="s">
        <v>35</v>
      </c>
      <c r="G408" s="33" t="s">
        <v>36</v>
      </c>
      <c r="H408" s="33" t="s">
        <v>37</v>
      </c>
      <c r="I408" s="33" t="s">
        <v>38</v>
      </c>
      <c r="J408" s="23" t="s">
        <v>39</v>
      </c>
      <c r="K408" s="8"/>
      <c r="L408" s="48"/>
    </row>
    <row r="409" spans="1:12" ht="12.75">
      <c r="A409" s="4"/>
      <c r="B409" s="57" t="s">
        <v>504</v>
      </c>
      <c r="C409" s="35"/>
      <c r="D409" s="35"/>
      <c r="E409" s="35"/>
      <c r="F409" s="35"/>
      <c r="G409" s="34" t="s">
        <v>41</v>
      </c>
      <c r="H409" s="22"/>
      <c r="I409" s="59">
        <f>HYPERLINK("TelephonyRecord!mmsEvent","mmsEvent")</f>
        <v>0</v>
      </c>
      <c r="J409" s="23"/>
      <c r="K409" s="8"/>
      <c r="L409" s="48" t="s">
        <v>86</v>
      </c>
    </row>
    <row r="410" spans="1:12" ht="12.75">
      <c r="A410" s="4"/>
      <c r="B410" s="57" t="s">
        <v>505</v>
      </c>
      <c r="C410" s="35"/>
      <c r="D410" s="35"/>
      <c r="E410" s="35"/>
      <c r="F410" s="35"/>
      <c r="G410" s="34" t="s">
        <v>41</v>
      </c>
      <c r="H410" s="22"/>
      <c r="I410" s="59">
        <f>HYPERLINK("TelephonyRecord!mmsStatus","mmsStatus")</f>
        <v>0</v>
      </c>
      <c r="J410" s="23"/>
      <c r="K410" s="8"/>
      <c r="L410" s="48"/>
    </row>
    <row r="411" spans="1:12" ht="12.75">
      <c r="A411" s="4"/>
      <c r="B411" s="57" t="s">
        <v>506</v>
      </c>
      <c r="C411" s="35"/>
      <c r="D411" s="35"/>
      <c r="E411" s="35"/>
      <c r="F411" s="35"/>
      <c r="G411" s="34" t="s">
        <v>41</v>
      </c>
      <c r="H411" s="22"/>
      <c r="I411" s="22"/>
      <c r="J411" s="23"/>
      <c r="K411" s="8"/>
      <c r="L411" s="48"/>
    </row>
    <row r="412" spans="1:12" ht="12.75">
      <c r="A412" s="4"/>
      <c r="B412" s="57" t="s">
        <v>507</v>
      </c>
      <c r="C412" s="35"/>
      <c r="D412" s="35"/>
      <c r="E412" s="35"/>
      <c r="F412" s="35"/>
      <c r="G412" s="34" t="s">
        <v>41</v>
      </c>
      <c r="H412" s="22"/>
      <c r="I412" s="59">
        <f>HYPERLINK("TelephonyRecord!mmsMsgMod","mmsMsgMod")</f>
        <v>0</v>
      </c>
      <c r="J412" s="23"/>
      <c r="K412" s="8"/>
      <c r="L412" s="48"/>
    </row>
    <row r="413" spans="2:12" ht="14.25" customHeight="1">
      <c r="B413" s="10"/>
      <c r="C413" s="10"/>
      <c r="D413" s="10"/>
      <c r="E413" s="10"/>
      <c r="F413" s="10"/>
      <c r="G413" s="10"/>
      <c r="H413" s="10"/>
      <c r="I413" s="29"/>
      <c r="J413" s="29"/>
      <c r="L413" s="48"/>
    </row>
    <row r="414" spans="1:12" ht="12.75">
      <c r="A414" s="4"/>
      <c r="B414" s="30" t="s">
        <v>508</v>
      </c>
      <c r="C414" s="19" t="s">
        <v>28</v>
      </c>
      <c r="D414" s="19"/>
      <c r="E414" s="19"/>
      <c r="F414" s="19"/>
      <c r="G414" s="31" t="s">
        <v>29</v>
      </c>
      <c r="H414" s="31"/>
      <c r="I414" s="32"/>
      <c r="J414" s="13"/>
      <c r="L414" s="48"/>
    </row>
    <row r="415" spans="1:12" ht="12.75">
      <c r="A415" s="4"/>
      <c r="B415" s="33" t="s">
        <v>32</v>
      </c>
      <c r="C415" s="23"/>
      <c r="D415" s="23" t="s">
        <v>33</v>
      </c>
      <c r="E415" s="23" t="s">
        <v>34</v>
      </c>
      <c r="F415" s="23" t="s">
        <v>35</v>
      </c>
      <c r="G415" s="33" t="s">
        <v>36</v>
      </c>
      <c r="H415" s="33" t="s">
        <v>37</v>
      </c>
      <c r="I415" s="33" t="s">
        <v>38</v>
      </c>
      <c r="J415" s="23" t="s">
        <v>39</v>
      </c>
      <c r="K415" s="8"/>
      <c r="L415" s="48"/>
    </row>
    <row r="416" spans="1:12" ht="12.75">
      <c r="A416" s="4"/>
      <c r="B416" s="57" t="s">
        <v>509</v>
      </c>
      <c r="C416" s="35"/>
      <c r="D416" s="35"/>
      <c r="E416" s="35"/>
      <c r="F416" s="35"/>
      <c r="G416" s="34" t="s">
        <v>41</v>
      </c>
      <c r="H416" s="22"/>
      <c r="I416" s="22"/>
      <c r="J416" s="23"/>
      <c r="K416" s="8"/>
      <c r="L416" s="48" t="s">
        <v>86</v>
      </c>
    </row>
    <row r="417" spans="1:12" ht="12.75">
      <c r="A417" s="4"/>
      <c r="B417" s="57" t="s">
        <v>510</v>
      </c>
      <c r="C417" s="35"/>
      <c r="D417" s="35"/>
      <c r="E417" s="35"/>
      <c r="F417" s="35"/>
      <c r="G417" s="34" t="s">
        <v>41</v>
      </c>
      <c r="H417" s="22"/>
      <c r="I417" s="22"/>
      <c r="J417" s="23"/>
      <c r="K417" s="8"/>
      <c r="L417" s="48"/>
    </row>
    <row r="418" spans="1:12" ht="12.75">
      <c r="A418" s="4"/>
      <c r="B418" s="57" t="s">
        <v>511</v>
      </c>
      <c r="C418" s="35"/>
      <c r="D418" s="35"/>
      <c r="E418" s="35"/>
      <c r="F418" s="35"/>
      <c r="G418" s="34" t="s">
        <v>41</v>
      </c>
      <c r="H418" s="22"/>
      <c r="I418" s="22"/>
      <c r="J418" s="23"/>
      <c r="K418" s="8"/>
      <c r="L418" s="48"/>
    </row>
    <row r="419" spans="1:12" ht="12.75">
      <c r="A419" s="4"/>
      <c r="B419" s="57" t="s">
        <v>512</v>
      </c>
      <c r="C419" s="35"/>
      <c r="D419" s="35"/>
      <c r="E419" s="35"/>
      <c r="F419" s="35"/>
      <c r="G419" s="34" t="s">
        <v>41</v>
      </c>
      <c r="H419" s="22"/>
      <c r="I419" s="22"/>
      <c r="J419" s="23"/>
      <c r="K419" s="8"/>
      <c r="L419" s="48"/>
    </row>
    <row r="420" spans="2:12" ht="14.25" customHeight="1">
      <c r="B420" s="10"/>
      <c r="C420" s="10"/>
      <c r="D420" s="10"/>
      <c r="E420" s="10"/>
      <c r="F420" s="10"/>
      <c r="G420" s="10"/>
      <c r="H420" s="10"/>
      <c r="I420" s="29"/>
      <c r="J420" s="29"/>
      <c r="L420" s="48"/>
    </row>
    <row r="421" spans="1:12" ht="12.75">
      <c r="A421" s="4"/>
      <c r="B421" s="30" t="s">
        <v>513</v>
      </c>
      <c r="C421" s="19" t="s">
        <v>28</v>
      </c>
      <c r="D421" s="19"/>
      <c r="E421" s="19"/>
      <c r="F421" s="19"/>
      <c r="G421" s="31" t="s">
        <v>29</v>
      </c>
      <c r="H421" s="31"/>
      <c r="I421" s="32"/>
      <c r="J421" s="13"/>
      <c r="L421" s="48"/>
    </row>
    <row r="422" spans="1:12" ht="12.75">
      <c r="A422" s="4"/>
      <c r="B422" s="33" t="s">
        <v>32</v>
      </c>
      <c r="C422" s="23"/>
      <c r="D422" s="23" t="s">
        <v>33</v>
      </c>
      <c r="E422" s="23" t="s">
        <v>34</v>
      </c>
      <c r="F422" s="23" t="s">
        <v>35</v>
      </c>
      <c r="G422" s="33" t="s">
        <v>36</v>
      </c>
      <c r="H422" s="33" t="s">
        <v>37</v>
      </c>
      <c r="I422" s="33" t="s">
        <v>38</v>
      </c>
      <c r="J422" s="23" t="s">
        <v>39</v>
      </c>
      <c r="K422" s="8"/>
      <c r="L422" s="48"/>
    </row>
    <row r="423" spans="1:12" ht="12.75">
      <c r="A423" s="4"/>
      <c r="B423" s="57" t="s">
        <v>514</v>
      </c>
      <c r="C423" s="35"/>
      <c r="D423" s="35"/>
      <c r="E423" s="35"/>
      <c r="F423" s="35"/>
      <c r="G423" s="34" t="s">
        <v>41</v>
      </c>
      <c r="H423" s="22"/>
      <c r="I423" s="22"/>
      <c r="J423" s="23"/>
      <c r="K423" s="8"/>
      <c r="L423" s="48" t="s">
        <v>86</v>
      </c>
    </row>
    <row r="424" spans="1:12" ht="12.75">
      <c r="A424" s="4"/>
      <c r="B424" s="57" t="s">
        <v>495</v>
      </c>
      <c r="C424" s="35"/>
      <c r="D424" s="35"/>
      <c r="E424" s="35"/>
      <c r="F424" s="35"/>
      <c r="G424" s="34" t="s">
        <v>41</v>
      </c>
      <c r="H424" s="22"/>
      <c r="I424" s="22"/>
      <c r="J424" s="23"/>
      <c r="K424" s="8"/>
      <c r="L424" s="48"/>
    </row>
    <row r="425" spans="1:12" ht="12.75">
      <c r="A425" s="4"/>
      <c r="B425" s="57" t="s">
        <v>496</v>
      </c>
      <c r="C425" s="35"/>
      <c r="D425" s="35"/>
      <c r="E425" s="35"/>
      <c r="F425" s="35"/>
      <c r="G425" s="34" t="s">
        <v>41</v>
      </c>
      <c r="H425" s="22"/>
      <c r="I425" s="22"/>
      <c r="J425" s="23"/>
      <c r="K425" s="8"/>
      <c r="L425" s="48"/>
    </row>
    <row r="426" spans="1:12" ht="12.75">
      <c r="A426" s="4"/>
      <c r="B426" s="57" t="s">
        <v>497</v>
      </c>
      <c r="C426" s="35"/>
      <c r="D426" s="35"/>
      <c r="E426" s="35"/>
      <c r="F426" s="35"/>
      <c r="G426" s="34" t="s">
        <v>41</v>
      </c>
      <c r="H426" s="22"/>
      <c r="I426" s="22"/>
      <c r="J426" s="23"/>
      <c r="K426" s="8"/>
      <c r="L426" s="48"/>
    </row>
    <row r="427" spans="1:12" ht="12.75">
      <c r="A427" s="4"/>
      <c r="B427" s="57" t="s">
        <v>498</v>
      </c>
      <c r="C427" s="35"/>
      <c r="D427" s="35"/>
      <c r="E427" s="35"/>
      <c r="F427" s="35"/>
      <c r="G427" s="34" t="s">
        <v>41</v>
      </c>
      <c r="H427" s="22"/>
      <c r="I427" s="22"/>
      <c r="J427" s="23"/>
      <c r="K427" s="8"/>
      <c r="L427" s="48"/>
    </row>
    <row r="428" spans="1:12" ht="12.75">
      <c r="A428" s="4"/>
      <c r="B428" s="57" t="s">
        <v>515</v>
      </c>
      <c r="C428" s="35"/>
      <c r="D428" s="35"/>
      <c r="E428" s="35"/>
      <c r="F428" s="35"/>
      <c r="G428" s="34" t="s">
        <v>41</v>
      </c>
      <c r="H428" s="22"/>
      <c r="I428" s="22"/>
      <c r="J428" s="23"/>
      <c r="K428" s="8"/>
      <c r="L428" s="48"/>
    </row>
    <row r="429" spans="1:12" ht="12.75">
      <c r="A429" s="4"/>
      <c r="B429" s="57" t="s">
        <v>516</v>
      </c>
      <c r="C429" s="35"/>
      <c r="D429" s="35"/>
      <c r="E429" s="35"/>
      <c r="F429" s="35"/>
      <c r="G429" s="34" t="s">
        <v>41</v>
      </c>
      <c r="H429" s="22"/>
      <c r="I429" s="22"/>
      <c r="J429" s="23"/>
      <c r="K429" s="8"/>
      <c r="L429" s="48"/>
    </row>
    <row r="430" spans="1:12" ht="12.75">
      <c r="A430" s="4"/>
      <c r="B430" s="57" t="s">
        <v>517</v>
      </c>
      <c r="C430" s="35"/>
      <c r="D430" s="35"/>
      <c r="E430" s="35"/>
      <c r="F430" s="35"/>
      <c r="G430" s="34" t="s">
        <v>41</v>
      </c>
      <c r="H430" s="22"/>
      <c r="I430" s="22"/>
      <c r="J430" s="23"/>
      <c r="K430" s="8"/>
      <c r="L430" s="48"/>
    </row>
    <row r="431" spans="1:12" ht="12.75">
      <c r="A431" s="4"/>
      <c r="B431" s="57" t="s">
        <v>518</v>
      </c>
      <c r="C431" s="35"/>
      <c r="D431" s="35"/>
      <c r="E431" s="35"/>
      <c r="F431" s="35"/>
      <c r="G431" s="34" t="s">
        <v>41</v>
      </c>
      <c r="H431" s="22"/>
      <c r="I431" s="22"/>
      <c r="J431" s="23"/>
      <c r="K431" s="8"/>
      <c r="L431" s="48"/>
    </row>
    <row r="432" spans="1:12" ht="12.75">
      <c r="A432" s="4"/>
      <c r="B432" s="57" t="s">
        <v>519</v>
      </c>
      <c r="C432" s="35"/>
      <c r="D432" s="35"/>
      <c r="E432" s="35"/>
      <c r="F432" s="35"/>
      <c r="G432" s="34" t="s">
        <v>41</v>
      </c>
      <c r="H432" s="22"/>
      <c r="I432" s="22"/>
      <c r="J432" s="23"/>
      <c r="K432" s="8"/>
      <c r="L432" s="48"/>
    </row>
    <row r="433" spans="1:12" ht="12.75">
      <c r="A433" s="4"/>
      <c r="B433" s="57" t="s">
        <v>520</v>
      </c>
      <c r="C433" s="35"/>
      <c r="D433" s="35"/>
      <c r="E433" s="35"/>
      <c r="F433" s="35"/>
      <c r="G433" s="34" t="s">
        <v>41</v>
      </c>
      <c r="H433" s="22"/>
      <c r="I433" s="22"/>
      <c r="J433" s="23"/>
      <c r="K433" s="8"/>
      <c r="L433" s="48"/>
    </row>
    <row r="434" spans="1:12" ht="39">
      <c r="A434" s="4"/>
      <c r="B434" s="57" t="s">
        <v>521</v>
      </c>
      <c r="C434" s="35"/>
      <c r="D434" s="35"/>
      <c r="E434" s="35"/>
      <c r="F434" s="35"/>
      <c r="G434" s="34" t="s">
        <v>41</v>
      </c>
      <c r="H434" s="22"/>
      <c r="I434" s="24" t="s">
        <v>522</v>
      </c>
      <c r="J434" s="23"/>
      <c r="K434" s="8"/>
      <c r="L434" s="48"/>
    </row>
    <row r="435" spans="2:12" ht="14.25" customHeight="1">
      <c r="B435" s="10"/>
      <c r="C435" s="10"/>
      <c r="D435" s="10"/>
      <c r="E435" s="10"/>
      <c r="F435" s="10"/>
      <c r="G435" s="10"/>
      <c r="H435" s="10"/>
      <c r="I435" s="29"/>
      <c r="J435" s="29"/>
      <c r="L435" s="48"/>
    </row>
    <row r="436" spans="1:12" ht="12.75">
      <c r="A436" s="4"/>
      <c r="B436" s="30" t="s">
        <v>523</v>
      </c>
      <c r="C436" s="19" t="s">
        <v>28</v>
      </c>
      <c r="D436" s="19"/>
      <c r="E436" s="19"/>
      <c r="F436" s="19"/>
      <c r="G436" s="31" t="s">
        <v>29</v>
      </c>
      <c r="H436" s="31"/>
      <c r="I436" s="32"/>
      <c r="J436" s="13"/>
      <c r="L436" s="48"/>
    </row>
    <row r="437" spans="1:12" ht="12.75">
      <c r="A437" s="4"/>
      <c r="B437" s="33" t="s">
        <v>32</v>
      </c>
      <c r="C437" s="23"/>
      <c r="D437" s="23" t="s">
        <v>33</v>
      </c>
      <c r="E437" s="23" t="s">
        <v>34</v>
      </c>
      <c r="F437" s="23" t="s">
        <v>35</v>
      </c>
      <c r="G437" s="33" t="s">
        <v>36</v>
      </c>
      <c r="H437" s="33" t="s">
        <v>37</v>
      </c>
      <c r="I437" s="33" t="s">
        <v>38</v>
      </c>
      <c r="J437" s="23" t="s">
        <v>39</v>
      </c>
      <c r="K437" s="8"/>
      <c r="L437" s="48"/>
    </row>
    <row r="438" spans="1:12" ht="12.75">
      <c r="A438" s="4"/>
      <c r="B438" s="57" t="s">
        <v>524</v>
      </c>
      <c r="C438" s="35"/>
      <c r="D438" s="35"/>
      <c r="E438" s="35"/>
      <c r="F438" s="35"/>
      <c r="G438" s="34" t="s">
        <v>41</v>
      </c>
      <c r="H438" s="22"/>
      <c r="I438" s="22"/>
      <c r="J438" s="23"/>
      <c r="K438" s="8"/>
      <c r="L438" s="48" t="s">
        <v>86</v>
      </c>
    </row>
    <row r="439" spans="1:12" ht="12.75">
      <c r="A439" s="4"/>
      <c r="B439" s="57" t="s">
        <v>525</v>
      </c>
      <c r="C439" s="35"/>
      <c r="D439" s="35"/>
      <c r="E439" s="35"/>
      <c r="F439" s="35"/>
      <c r="G439" s="34" t="s">
        <v>41</v>
      </c>
      <c r="H439" s="22"/>
      <c r="I439" s="22"/>
      <c r="J439" s="23"/>
      <c r="K439" s="8"/>
      <c r="L439" s="48"/>
    </row>
    <row r="440" spans="1:12" ht="12.75">
      <c r="A440" s="4"/>
      <c r="B440" s="57" t="s">
        <v>526</v>
      </c>
      <c r="C440" s="35"/>
      <c r="D440" s="35"/>
      <c r="E440" s="35"/>
      <c r="F440" s="35"/>
      <c r="G440" s="34" t="s">
        <v>41</v>
      </c>
      <c r="H440" s="22"/>
      <c r="I440" s="22"/>
      <c r="J440" s="23"/>
      <c r="K440" s="8"/>
      <c r="L440" s="48"/>
    </row>
    <row r="441" spans="2:12" ht="14.25" customHeight="1">
      <c r="B441" s="29"/>
      <c r="C441" s="29"/>
      <c r="D441" s="29"/>
      <c r="E441" s="29"/>
      <c r="F441" s="29"/>
      <c r="G441" s="29"/>
      <c r="H441" s="29"/>
      <c r="I441" s="29"/>
      <c r="J441" s="29"/>
      <c r="L441" s="48"/>
    </row>
    <row r="442" spans="1:12" ht="12.75">
      <c r="A442" s="50" t="s">
        <v>527</v>
      </c>
      <c r="B442" s="50"/>
      <c r="C442" s="51"/>
      <c r="D442" s="51"/>
      <c r="E442" s="51"/>
      <c r="F442" s="51"/>
      <c r="G442" s="51"/>
      <c r="H442" s="51"/>
      <c r="I442" s="51"/>
      <c r="J442" s="51"/>
      <c r="L442" s="48"/>
    </row>
    <row r="443" spans="2:12" ht="14.25" customHeight="1">
      <c r="B443" s="3"/>
      <c r="C443" s="3"/>
      <c r="D443" s="3"/>
      <c r="E443" s="3"/>
      <c r="F443" s="3"/>
      <c r="G443" s="3"/>
      <c r="H443" s="3"/>
      <c r="L443" s="48"/>
    </row>
    <row r="444" spans="1:12" ht="12.75">
      <c r="A444" s="4"/>
      <c r="B444" s="30" t="s">
        <v>528</v>
      </c>
      <c r="C444" s="19" t="s">
        <v>28</v>
      </c>
      <c r="D444" s="19"/>
      <c r="E444" s="19"/>
      <c r="F444" s="19"/>
      <c r="G444" s="31" t="s">
        <v>29</v>
      </c>
      <c r="H444" s="31"/>
      <c r="I444" s="32"/>
      <c r="J444" s="13"/>
      <c r="L444" s="48"/>
    </row>
    <row r="445" spans="1:12" ht="12.75">
      <c r="A445" s="4"/>
      <c r="B445" s="33" t="s">
        <v>32</v>
      </c>
      <c r="C445" s="23"/>
      <c r="D445" s="23" t="s">
        <v>33</v>
      </c>
      <c r="E445" s="23" t="s">
        <v>34</v>
      </c>
      <c r="F445" s="23" t="s">
        <v>35</v>
      </c>
      <c r="G445" s="33" t="s">
        <v>36</v>
      </c>
      <c r="H445" s="33" t="s">
        <v>37</v>
      </c>
      <c r="I445" s="33" t="s">
        <v>38</v>
      </c>
      <c r="J445" s="23" t="s">
        <v>39</v>
      </c>
      <c r="K445" s="8"/>
      <c r="L445" s="48"/>
    </row>
    <row r="446" spans="1:12" ht="12.75">
      <c r="A446" s="4"/>
      <c r="B446" s="57" t="s">
        <v>529</v>
      </c>
      <c r="C446" s="35"/>
      <c r="D446" s="35"/>
      <c r="E446" s="35"/>
      <c r="F446" s="35"/>
      <c r="G446" s="34" t="s">
        <v>41</v>
      </c>
      <c r="H446" s="22"/>
      <c r="I446" s="59">
        <f>HYPERLINK("TelephonyRecord!deviceIDType","deviceIDType")</f>
        <v>0</v>
      </c>
      <c r="J446" s="23"/>
      <c r="K446" s="8"/>
      <c r="L446" s="48" t="s">
        <v>530</v>
      </c>
    </row>
    <row r="447" spans="1:12" ht="99.75" customHeight="1">
      <c r="A447" s="4"/>
      <c r="B447" s="57" t="s">
        <v>531</v>
      </c>
      <c r="C447" s="35"/>
      <c r="D447" s="35"/>
      <c r="E447" s="35"/>
      <c r="F447" s="35"/>
      <c r="G447" s="34" t="s">
        <v>41</v>
      </c>
      <c r="H447" s="22"/>
      <c r="I447" s="24" t="s">
        <v>532</v>
      </c>
      <c r="J447" s="23"/>
      <c r="K447" s="8"/>
      <c r="L447" s="55">
        <v>355211050704978</v>
      </c>
    </row>
    <row r="448" spans="1:12" ht="162" customHeight="1">
      <c r="A448" s="4"/>
      <c r="B448" s="57" t="s">
        <v>324</v>
      </c>
      <c r="C448" s="35"/>
      <c r="D448" s="35"/>
      <c r="E448" s="35"/>
      <c r="F448" s="35"/>
      <c r="G448" s="34" t="s">
        <v>41</v>
      </c>
      <c r="H448" s="22"/>
      <c r="I448" s="93" t="s">
        <v>533</v>
      </c>
      <c r="J448" s="87">
        <f>HYPERLINK("TelephonyRecord!subscriberID_Telephony_Device","subscriberID")</f>
        <v>0</v>
      </c>
      <c r="K448" s="8"/>
      <c r="L448" s="48" t="s">
        <v>170</v>
      </c>
    </row>
    <row r="449" spans="1:12" ht="12.75">
      <c r="A449" s="4"/>
      <c r="B449" s="67" t="s">
        <v>534</v>
      </c>
      <c r="C449" s="68"/>
      <c r="D449" s="68"/>
      <c r="E449" s="68"/>
      <c r="F449" s="68"/>
      <c r="G449" s="68"/>
      <c r="H449" s="7" t="s">
        <v>43</v>
      </c>
      <c r="I449" s="7"/>
      <c r="J449" s="7"/>
      <c r="K449" s="8"/>
      <c r="L449" s="48"/>
    </row>
    <row r="450" spans="2:12" ht="14.25" customHeight="1">
      <c r="B450" s="60"/>
      <c r="C450" s="79"/>
      <c r="D450" s="79"/>
      <c r="E450" s="79"/>
      <c r="F450" s="79"/>
      <c r="G450" s="79"/>
      <c r="H450" s="10"/>
      <c r="I450" s="29"/>
      <c r="J450" s="29"/>
      <c r="L450" s="48"/>
    </row>
    <row r="451" spans="1:12" ht="12.75">
      <c r="A451" s="4"/>
      <c r="B451" s="30" t="s">
        <v>535</v>
      </c>
      <c r="C451" s="94" t="s">
        <v>28</v>
      </c>
      <c r="D451" s="95"/>
      <c r="E451" s="95"/>
      <c r="F451" s="96"/>
      <c r="G451" s="31" t="s">
        <v>29</v>
      </c>
      <c r="H451" s="31"/>
      <c r="I451" s="32"/>
      <c r="J451" s="13"/>
      <c r="L451" s="48"/>
    </row>
    <row r="452" spans="1:12" ht="12.75">
      <c r="A452" s="4"/>
      <c r="B452" s="33" t="s">
        <v>32</v>
      </c>
      <c r="C452" s="23"/>
      <c r="D452" s="23" t="s">
        <v>33</v>
      </c>
      <c r="E452" s="23" t="s">
        <v>34</v>
      </c>
      <c r="F452" s="23" t="s">
        <v>35</v>
      </c>
      <c r="G452" s="33" t="s">
        <v>36</v>
      </c>
      <c r="H452" s="33" t="s">
        <v>37</v>
      </c>
      <c r="I452" s="33" t="s">
        <v>38</v>
      </c>
      <c r="J452" s="23" t="s">
        <v>39</v>
      </c>
      <c r="K452" s="8"/>
      <c r="L452" s="48"/>
    </row>
    <row r="453" spans="1:12" ht="12.75">
      <c r="A453" s="4"/>
      <c r="B453" s="57" t="s">
        <v>536</v>
      </c>
      <c r="C453" s="35"/>
      <c r="D453" s="35"/>
      <c r="E453" s="35"/>
      <c r="F453" s="35"/>
      <c r="G453" s="34" t="s">
        <v>41</v>
      </c>
      <c r="H453" s="22"/>
      <c r="I453" s="22"/>
      <c r="J453" s="23"/>
      <c r="K453" s="8"/>
      <c r="L453" s="48"/>
    </row>
    <row r="454" spans="1:12" ht="12.75">
      <c r="A454" s="4"/>
      <c r="B454" s="57" t="s">
        <v>537</v>
      </c>
      <c r="C454" s="35"/>
      <c r="D454" s="35"/>
      <c r="E454" s="35"/>
      <c r="F454" s="35"/>
      <c r="G454" s="34" t="s">
        <v>41</v>
      </c>
      <c r="H454" s="22"/>
      <c r="I454" s="22"/>
      <c r="J454" s="23"/>
      <c r="K454" s="8"/>
      <c r="L454" s="48" t="s">
        <v>538</v>
      </c>
    </row>
    <row r="455" spans="1:12" ht="12.75">
      <c r="A455" s="4"/>
      <c r="B455" s="57" t="s">
        <v>539</v>
      </c>
      <c r="C455" s="35"/>
      <c r="D455" s="35"/>
      <c r="E455" s="35"/>
      <c r="F455" s="35"/>
      <c r="G455" s="34" t="s">
        <v>41</v>
      </c>
      <c r="H455" s="22"/>
      <c r="I455" s="22"/>
      <c r="J455" s="23"/>
      <c r="K455" s="8"/>
      <c r="L455" s="48"/>
    </row>
    <row r="456" spans="2:12" ht="14.25" customHeight="1">
      <c r="B456" s="10"/>
      <c r="C456" s="10"/>
      <c r="D456" s="10"/>
      <c r="E456" s="10"/>
      <c r="F456" s="10"/>
      <c r="G456" s="10"/>
      <c r="H456" s="10"/>
      <c r="I456" s="10"/>
      <c r="J456" s="10"/>
      <c r="L456" s="48"/>
    </row>
    <row r="457" spans="1:12" ht="68.25" customHeight="1">
      <c r="A457" s="4"/>
      <c r="B457" s="36" t="s">
        <v>540</v>
      </c>
      <c r="C457" s="36"/>
      <c r="D457" s="36"/>
      <c r="E457" s="36"/>
      <c r="F457" s="36"/>
      <c r="G457" s="36" t="s">
        <v>52</v>
      </c>
      <c r="H457" s="36"/>
      <c r="I457" s="36"/>
      <c r="J457" s="36"/>
      <c r="K457" s="8"/>
      <c r="L457" s="48"/>
    </row>
    <row r="458" spans="1:12" ht="26.25" customHeight="1">
      <c r="A458" s="4"/>
      <c r="B458" s="38" t="s">
        <v>360</v>
      </c>
      <c r="C458" s="38"/>
      <c r="D458" s="38"/>
      <c r="E458" s="38"/>
      <c r="F458" s="38"/>
      <c r="G458" s="97"/>
      <c r="H458" s="97"/>
      <c r="I458" s="97"/>
      <c r="J458" s="97"/>
      <c r="K458" s="8"/>
      <c r="L458" s="48" t="s">
        <v>181</v>
      </c>
    </row>
    <row r="459" spans="2:12" ht="14.25" customHeight="1">
      <c r="B459" s="29"/>
      <c r="C459" s="29"/>
      <c r="D459" s="29"/>
      <c r="E459" s="29"/>
      <c r="F459" s="29"/>
      <c r="G459" s="29"/>
      <c r="H459" s="29"/>
      <c r="I459" s="29"/>
      <c r="J459" s="29"/>
      <c r="L459" s="48"/>
    </row>
    <row r="460" spans="1:12" ht="12.75">
      <c r="A460" s="50" t="s">
        <v>541</v>
      </c>
      <c r="B460" s="50"/>
      <c r="C460" s="51"/>
      <c r="D460" s="51"/>
      <c r="E460" s="51"/>
      <c r="F460" s="51"/>
      <c r="G460" s="51"/>
      <c r="H460" s="51"/>
      <c r="I460" s="51"/>
      <c r="J460" s="51"/>
      <c r="L460" s="48"/>
    </row>
    <row r="461" spans="2:12" ht="14.25" customHeight="1">
      <c r="B461" s="3"/>
      <c r="C461" s="3"/>
      <c r="D461" s="3"/>
      <c r="E461" s="3"/>
      <c r="F461" s="3"/>
      <c r="G461" s="3"/>
      <c r="H461" s="3"/>
      <c r="L461" s="48"/>
    </row>
    <row r="462" spans="1:12" ht="12.75">
      <c r="A462" s="4"/>
      <c r="B462" s="98" t="s">
        <v>399</v>
      </c>
      <c r="C462" s="40" t="s">
        <v>28</v>
      </c>
      <c r="D462" s="40"/>
      <c r="E462" s="40"/>
      <c r="F462" s="40"/>
      <c r="G462" s="40" t="s">
        <v>29</v>
      </c>
      <c r="H462" s="40"/>
      <c r="I462" s="75"/>
      <c r="J462" s="3"/>
      <c r="L462" s="48"/>
    </row>
    <row r="463" spans="1:12" ht="12.75">
      <c r="A463" s="4"/>
      <c r="B463" s="7" t="s">
        <v>32</v>
      </c>
      <c r="C463" s="7"/>
      <c r="D463" s="7" t="s">
        <v>33</v>
      </c>
      <c r="E463" s="7" t="s">
        <v>34</v>
      </c>
      <c r="F463" s="7" t="s">
        <v>35</v>
      </c>
      <c r="G463" s="7" t="s">
        <v>36</v>
      </c>
      <c r="H463" s="7" t="s">
        <v>37</v>
      </c>
      <c r="I463" s="7" t="s">
        <v>38</v>
      </c>
      <c r="J463" s="7" t="s">
        <v>39</v>
      </c>
      <c r="K463" s="8"/>
      <c r="L463" s="48"/>
    </row>
    <row r="464" spans="1:12" ht="12.75" customHeight="1">
      <c r="A464" s="4"/>
      <c r="B464" s="67" t="s">
        <v>387</v>
      </c>
      <c r="C464" s="68"/>
      <c r="D464" s="68"/>
      <c r="E464" s="68"/>
      <c r="F464" s="68"/>
      <c r="G464" s="68"/>
      <c r="H464" s="7" t="s">
        <v>43</v>
      </c>
      <c r="I464" s="26" t="s">
        <v>542</v>
      </c>
      <c r="J464" s="7"/>
      <c r="K464" s="8"/>
      <c r="L464" s="48"/>
    </row>
    <row r="465" spans="1:12" ht="12.75">
      <c r="A465" s="4"/>
      <c r="B465" s="67" t="s">
        <v>400</v>
      </c>
      <c r="C465" s="68"/>
      <c r="D465" s="68"/>
      <c r="E465" s="68"/>
      <c r="F465" s="68"/>
      <c r="G465" s="68"/>
      <c r="H465" s="7" t="s">
        <v>43</v>
      </c>
      <c r="I465" s="26"/>
      <c r="J465" s="7"/>
      <c r="K465" s="8"/>
      <c r="L465" s="48"/>
    </row>
    <row r="466" spans="1:12" ht="12.75">
      <c r="A466" s="4"/>
      <c r="B466" s="67" t="s">
        <v>402</v>
      </c>
      <c r="C466" s="68"/>
      <c r="D466" s="68"/>
      <c r="E466" s="68"/>
      <c r="F466" s="68"/>
      <c r="G466" s="68"/>
      <c r="H466" s="7" t="s">
        <v>43</v>
      </c>
      <c r="I466" s="26"/>
      <c r="J466" s="7"/>
      <c r="K466" s="8"/>
      <c r="L466" s="48"/>
    </row>
    <row r="467" spans="1:12" ht="12.75">
      <c r="A467" s="4"/>
      <c r="B467" s="67" t="s">
        <v>403</v>
      </c>
      <c r="C467" s="68"/>
      <c r="D467" s="68"/>
      <c r="E467" s="68"/>
      <c r="F467" s="68"/>
      <c r="G467" s="68"/>
      <c r="H467" s="7" t="s">
        <v>43</v>
      </c>
      <c r="I467" s="26"/>
      <c r="J467" s="7"/>
      <c r="K467" s="8"/>
      <c r="L467" s="48"/>
    </row>
    <row r="468" spans="1:12" ht="12.75">
      <c r="A468" s="4"/>
      <c r="B468" s="67" t="s">
        <v>404</v>
      </c>
      <c r="C468" s="68"/>
      <c r="D468" s="68"/>
      <c r="E468" s="68"/>
      <c r="F468" s="68"/>
      <c r="G468" s="68"/>
      <c r="H468" s="7" t="s">
        <v>43</v>
      </c>
      <c r="I468" s="26"/>
      <c r="J468" s="7"/>
      <c r="K468" s="8"/>
      <c r="L468" s="48"/>
    </row>
  </sheetData>
  <sheetProtection selectLockedCells="1" selectUnlockedCells="1"/>
  <mergeCells count="135">
    <mergeCell ref="B12:F12"/>
    <mergeCell ref="C14:F14"/>
    <mergeCell ref="G14:H14"/>
    <mergeCell ref="B22:F22"/>
    <mergeCell ref="G22:J22"/>
    <mergeCell ref="B23:F23"/>
    <mergeCell ref="G23:J23"/>
    <mergeCell ref="C25:F25"/>
    <mergeCell ref="G25:H25"/>
    <mergeCell ref="B45:F45"/>
    <mergeCell ref="G45:J45"/>
    <mergeCell ref="B46:F46"/>
    <mergeCell ref="G46:J46"/>
    <mergeCell ref="B48:F48"/>
    <mergeCell ref="G48:J48"/>
    <mergeCell ref="B49:F49"/>
    <mergeCell ref="G49:J49"/>
    <mergeCell ref="C51:F51"/>
    <mergeCell ref="G51:H51"/>
    <mergeCell ref="C57:F57"/>
    <mergeCell ref="G57:H57"/>
    <mergeCell ref="C63:F63"/>
    <mergeCell ref="G63:H63"/>
    <mergeCell ref="C78:F78"/>
    <mergeCell ref="G78:H78"/>
    <mergeCell ref="C84:F84"/>
    <mergeCell ref="G84:H84"/>
    <mergeCell ref="C90:F90"/>
    <mergeCell ref="G90:H90"/>
    <mergeCell ref="C96:F96"/>
    <mergeCell ref="G96:H96"/>
    <mergeCell ref="C105:F105"/>
    <mergeCell ref="G105:H105"/>
    <mergeCell ref="C112:F112"/>
    <mergeCell ref="G112:H112"/>
    <mergeCell ref="C127:F127"/>
    <mergeCell ref="G127:H127"/>
    <mergeCell ref="C135:F135"/>
    <mergeCell ref="G135:H135"/>
    <mergeCell ref="B144:F144"/>
    <mergeCell ref="G144:J144"/>
    <mergeCell ref="B145:F145"/>
    <mergeCell ref="G145:J145"/>
    <mergeCell ref="B147:F147"/>
    <mergeCell ref="G147:J147"/>
    <mergeCell ref="B148:F148"/>
    <mergeCell ref="G148:J148"/>
    <mergeCell ref="C150:F150"/>
    <mergeCell ref="G150:H150"/>
    <mergeCell ref="C157:F157"/>
    <mergeCell ref="G157:H157"/>
    <mergeCell ref="C172:F172"/>
    <mergeCell ref="G172:H172"/>
    <mergeCell ref="C178:F178"/>
    <mergeCell ref="G178:H178"/>
    <mergeCell ref="B191:F191"/>
    <mergeCell ref="G191:J191"/>
    <mergeCell ref="B192:F192"/>
    <mergeCell ref="G192:J192"/>
    <mergeCell ref="C194:F194"/>
    <mergeCell ref="G194:H194"/>
    <mergeCell ref="C207:F207"/>
    <mergeCell ref="G207:H207"/>
    <mergeCell ref="B227:F227"/>
    <mergeCell ref="G227:J227"/>
    <mergeCell ref="B228:F228"/>
    <mergeCell ref="G228:J228"/>
    <mergeCell ref="B230:F230"/>
    <mergeCell ref="G230:J230"/>
    <mergeCell ref="B231:F231"/>
    <mergeCell ref="G231:J231"/>
    <mergeCell ref="C233:F233"/>
    <mergeCell ref="G233:H233"/>
    <mergeCell ref="I235:I252"/>
    <mergeCell ref="C254:F254"/>
    <mergeCell ref="G254:H254"/>
    <mergeCell ref="B260:F260"/>
    <mergeCell ref="G260:J260"/>
    <mergeCell ref="B261:F261"/>
    <mergeCell ref="G261:J261"/>
    <mergeCell ref="C263:F263"/>
    <mergeCell ref="G263:H263"/>
    <mergeCell ref="C269:F269"/>
    <mergeCell ref="G269:H269"/>
    <mergeCell ref="C275:F275"/>
    <mergeCell ref="G275:H275"/>
    <mergeCell ref="B283:F283"/>
    <mergeCell ref="G283:J283"/>
    <mergeCell ref="B284:F284"/>
    <mergeCell ref="G284:J284"/>
    <mergeCell ref="C286:F286"/>
    <mergeCell ref="G286:H286"/>
    <mergeCell ref="C292:F292"/>
    <mergeCell ref="G292:H292"/>
    <mergeCell ref="C304:F304"/>
    <mergeCell ref="G304:H304"/>
    <mergeCell ref="C312:F312"/>
    <mergeCell ref="G312:H312"/>
    <mergeCell ref="C319:F319"/>
    <mergeCell ref="G319:H319"/>
    <mergeCell ref="C335:F335"/>
    <mergeCell ref="G335:H335"/>
    <mergeCell ref="C350:F350"/>
    <mergeCell ref="G350:H350"/>
    <mergeCell ref="C356:F356"/>
    <mergeCell ref="G356:H356"/>
    <mergeCell ref="C363:F363"/>
    <mergeCell ref="G363:H363"/>
    <mergeCell ref="C369:F369"/>
    <mergeCell ref="G369:H369"/>
    <mergeCell ref="C379:F379"/>
    <mergeCell ref="G379:H379"/>
    <mergeCell ref="C386:F386"/>
    <mergeCell ref="G386:H386"/>
    <mergeCell ref="I388:I394"/>
    <mergeCell ref="C396:F396"/>
    <mergeCell ref="G396:H396"/>
    <mergeCell ref="C407:F407"/>
    <mergeCell ref="G407:H407"/>
    <mergeCell ref="C414:F414"/>
    <mergeCell ref="G414:H414"/>
    <mergeCell ref="C421:F421"/>
    <mergeCell ref="G421:H421"/>
    <mergeCell ref="C436:F436"/>
    <mergeCell ref="G436:H436"/>
    <mergeCell ref="C444:F444"/>
    <mergeCell ref="G444:H444"/>
    <mergeCell ref="G451:H451"/>
    <mergeCell ref="B457:F457"/>
    <mergeCell ref="G457:J457"/>
    <mergeCell ref="B458:F458"/>
    <mergeCell ref="G458:J458"/>
    <mergeCell ref="C462:F462"/>
    <mergeCell ref="G462:H462"/>
    <mergeCell ref="I464:I468"/>
  </mergeCells>
  <printOptions/>
  <pageMargins left="0.75" right="0.75" top="0.5" bottom="0.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M241"/>
  <sheetViews>
    <sheetView zoomScaleSheetLayoutView="100" workbookViewId="0" topLeftCell="A1">
      <selection activeCell="A1" sqref="A1"/>
    </sheetView>
  </sheetViews>
  <sheetFormatPr defaultColWidth="37.7109375" defaultRowHeight="12.75"/>
  <cols>
    <col min="1" max="1" width="6.140625" style="0" customWidth="1"/>
    <col min="2" max="2" width="49.140625" style="0" customWidth="1"/>
    <col min="3" max="3" width="0.42578125" style="0" customWidth="1"/>
    <col min="4" max="6" width="0.2890625" style="0" customWidth="1"/>
    <col min="7" max="7" width="9.7109375" style="0" customWidth="1"/>
    <col min="8" max="8" width="14.140625" style="0" customWidth="1"/>
    <col min="9" max="10" width="36.8515625" style="0" customWidth="1"/>
    <col min="11" max="11" width="8.28125" style="0" customWidth="1"/>
    <col min="12" max="13" width="37.00390625" style="47" customWidth="1"/>
  </cols>
  <sheetData>
    <row r="1" ht="14.25" customHeight="1"/>
    <row r="2" ht="12.75">
      <c r="B2" s="1" t="s">
        <v>543</v>
      </c>
    </row>
    <row r="3" ht="15" customHeight="1"/>
    <row r="4" ht="15" customHeight="1">
      <c r="B4" s="49">
        <f>HYPERLINK("MessageRecord!Msg_Message_Subscriber","LINK TO Message_Subscriber")</f>
        <v>0</v>
      </c>
    </row>
    <row r="5" ht="15" customHeight="1">
      <c r="B5" s="49">
        <f>HYPERLINK("MessageRecord!Msg_Message_Service_Usage","LINK TO Message_Service_Usage")</f>
        <v>0</v>
      </c>
    </row>
    <row r="6" ht="15" customHeight="1">
      <c r="B6" s="49">
        <f>HYPERLINK("MessageRecord!Msg_Message_Billing_Details","LINK TO Message_Billing_Details")</f>
        <v>0</v>
      </c>
    </row>
    <row r="7" ht="15" customHeight="1"/>
    <row r="8" spans="1:13" ht="12.75">
      <c r="A8" s="50" t="s">
        <v>544</v>
      </c>
      <c r="B8" s="50"/>
      <c r="C8" s="51"/>
      <c r="D8" s="51"/>
      <c r="E8" s="51"/>
      <c r="F8" s="51"/>
      <c r="G8" s="51"/>
      <c r="H8" s="51"/>
      <c r="I8" s="51"/>
      <c r="J8" s="51"/>
      <c r="L8" s="55" t="s">
        <v>63</v>
      </c>
      <c r="M8" s="76" t="s">
        <v>64</v>
      </c>
    </row>
    <row r="9" spans="2:6" ht="15.75" customHeight="1">
      <c r="B9" s="53"/>
      <c r="C9" s="3"/>
      <c r="D9" s="3"/>
      <c r="E9" s="3"/>
      <c r="F9" s="3"/>
    </row>
    <row r="10" spans="1:7" ht="26.25" customHeight="1">
      <c r="A10" s="4"/>
      <c r="B10" s="24" t="s">
        <v>62</v>
      </c>
      <c r="C10" s="24"/>
      <c r="D10" s="24"/>
      <c r="E10" s="24"/>
      <c r="F10" s="24"/>
      <c r="G10" s="8"/>
    </row>
    <row r="11" spans="2:8" ht="12.75">
      <c r="B11" s="54"/>
      <c r="C11" s="10"/>
      <c r="D11" s="10"/>
      <c r="E11" s="10"/>
      <c r="F11" s="10"/>
      <c r="G11" s="3"/>
      <c r="H11" s="3"/>
    </row>
    <row r="12" spans="1:10" ht="12.75">
      <c r="A12" s="4"/>
      <c r="B12" s="30" t="s">
        <v>545</v>
      </c>
      <c r="C12" s="19" t="s">
        <v>28</v>
      </c>
      <c r="D12" s="19"/>
      <c r="E12" s="19"/>
      <c r="F12" s="19"/>
      <c r="G12" s="31" t="s">
        <v>29</v>
      </c>
      <c r="H12" s="31"/>
      <c r="I12" s="32"/>
      <c r="J12" s="13"/>
    </row>
    <row r="13" spans="1:10" ht="12.75">
      <c r="A13" s="4"/>
      <c r="B13" s="33" t="s">
        <v>32</v>
      </c>
      <c r="C13" s="23"/>
      <c r="D13" s="23" t="s">
        <v>33</v>
      </c>
      <c r="E13" s="23" t="s">
        <v>34</v>
      </c>
      <c r="F13" s="23" t="s">
        <v>35</v>
      </c>
      <c r="G13" s="33" t="s">
        <v>36</v>
      </c>
      <c r="H13" s="33" t="s">
        <v>37</v>
      </c>
      <c r="I13" s="33" t="s">
        <v>38</v>
      </c>
      <c r="J13" s="99" t="s">
        <v>39</v>
      </c>
    </row>
    <row r="14" spans="1:10" ht="13.5">
      <c r="A14" s="4"/>
      <c r="B14" s="57" t="s">
        <v>546</v>
      </c>
      <c r="C14" s="25"/>
      <c r="D14" s="25"/>
      <c r="E14" s="25"/>
      <c r="F14" s="25"/>
      <c r="G14" s="24" t="s">
        <v>41</v>
      </c>
      <c r="H14" s="24"/>
      <c r="I14" s="59">
        <f>HYPERLINK("MessageRecord!TimeSpan_MsgSubscriber","TimeSpan")</f>
        <v>0</v>
      </c>
      <c r="J14" s="99"/>
    </row>
    <row r="15" spans="1:12" ht="199.5" customHeight="1">
      <c r="A15" s="4"/>
      <c r="B15" s="57" t="s">
        <v>547</v>
      </c>
      <c r="C15" s="25"/>
      <c r="D15" s="25"/>
      <c r="E15" s="25"/>
      <c r="F15" s="25"/>
      <c r="G15" s="24" t="s">
        <v>41</v>
      </c>
      <c r="H15" s="24"/>
      <c r="I15" s="24" t="s">
        <v>548</v>
      </c>
      <c r="J15" s="100">
        <f>HYPERLINK("MessageRecord!subscriberID_MsgSubscriber","subscriberID")</f>
        <v>0</v>
      </c>
      <c r="L15" s="76" t="s">
        <v>170</v>
      </c>
    </row>
    <row r="16" spans="1:12" ht="13.5">
      <c r="A16" s="4"/>
      <c r="B16" s="57" t="s">
        <v>549</v>
      </c>
      <c r="C16" s="25"/>
      <c r="D16" s="25"/>
      <c r="E16" s="25"/>
      <c r="F16" s="25"/>
      <c r="G16" s="24" t="s">
        <v>41</v>
      </c>
      <c r="H16" s="24"/>
      <c r="I16" s="59">
        <f>HYPERLINK("MessageRecord!MsgStore","MsgStore")</f>
        <v>0</v>
      </c>
      <c r="J16" s="99"/>
      <c r="L16" s="76" t="s">
        <v>550</v>
      </c>
    </row>
    <row r="17" spans="1:12" ht="13.5">
      <c r="A17" s="4"/>
      <c r="B17" s="57" t="s">
        <v>551</v>
      </c>
      <c r="C17" s="25"/>
      <c r="D17" s="25"/>
      <c r="E17" s="25"/>
      <c r="F17" s="25"/>
      <c r="G17" s="24" t="s">
        <v>41</v>
      </c>
      <c r="H17" s="24"/>
      <c r="I17" s="59">
        <f>HYPERLINK("GenericSubInfo!A1","GenericSubscriberInfo")</f>
        <v>0</v>
      </c>
      <c r="J17" s="99"/>
      <c r="L17" s="76" t="s">
        <v>172</v>
      </c>
    </row>
    <row r="18" spans="1:12" ht="13.5">
      <c r="A18" s="4"/>
      <c r="B18" s="57" t="s">
        <v>552</v>
      </c>
      <c r="C18" s="25"/>
      <c r="D18" s="25"/>
      <c r="E18" s="25"/>
      <c r="F18" s="25"/>
      <c r="G18" s="24" t="s">
        <v>41</v>
      </c>
      <c r="H18" s="24"/>
      <c r="I18" s="59">
        <f>HYPERLINK("MessageRecord!PaymentDetails","PaymentDetails")</f>
        <v>0</v>
      </c>
      <c r="J18" s="99"/>
      <c r="L18" s="76" t="s">
        <v>222</v>
      </c>
    </row>
    <row r="19" spans="2:10" ht="14.25" customHeight="1">
      <c r="B19" s="10"/>
      <c r="C19" s="10"/>
      <c r="D19" s="10"/>
      <c r="E19" s="10"/>
      <c r="F19" s="10"/>
      <c r="G19" s="10"/>
      <c r="H19" s="10"/>
      <c r="I19" s="29"/>
      <c r="J19" s="29"/>
    </row>
    <row r="20" spans="1:10" ht="12.75">
      <c r="A20" s="4"/>
      <c r="B20" s="30" t="s">
        <v>231</v>
      </c>
      <c r="C20" s="19" t="s">
        <v>28</v>
      </c>
      <c r="D20" s="19"/>
      <c r="E20" s="19"/>
      <c r="F20" s="19"/>
      <c r="G20" s="31" t="s">
        <v>29</v>
      </c>
      <c r="H20" s="31"/>
      <c r="I20" s="32"/>
      <c r="J20" s="13"/>
    </row>
    <row r="21" spans="1:10" ht="12.75">
      <c r="A21" s="4"/>
      <c r="B21" s="33" t="s">
        <v>32</v>
      </c>
      <c r="C21" s="23"/>
      <c r="D21" s="23" t="s">
        <v>33</v>
      </c>
      <c r="E21" s="23" t="s">
        <v>34</v>
      </c>
      <c r="F21" s="23" t="s">
        <v>35</v>
      </c>
      <c r="G21" s="33" t="s">
        <v>36</v>
      </c>
      <c r="H21" s="33" t="s">
        <v>37</v>
      </c>
      <c r="I21" s="33" t="s">
        <v>38</v>
      </c>
      <c r="J21" s="99" t="s">
        <v>39</v>
      </c>
    </row>
    <row r="22" spans="1:12" ht="13.5">
      <c r="A22" s="4"/>
      <c r="B22" s="57" t="s">
        <v>106</v>
      </c>
      <c r="C22" s="25"/>
      <c r="D22" s="25"/>
      <c r="E22" s="25"/>
      <c r="F22" s="25"/>
      <c r="G22" s="24" t="s">
        <v>41</v>
      </c>
      <c r="H22" s="24"/>
      <c r="I22" s="24"/>
      <c r="J22" s="101"/>
      <c r="L22" s="76" t="s">
        <v>553</v>
      </c>
    </row>
    <row r="23" spans="1:12" ht="13.5">
      <c r="A23" s="4"/>
      <c r="B23" s="57" t="s">
        <v>108</v>
      </c>
      <c r="C23" s="25"/>
      <c r="D23" s="25"/>
      <c r="E23" s="25"/>
      <c r="F23" s="25"/>
      <c r="G23" s="24" t="s">
        <v>41</v>
      </c>
      <c r="H23" s="24"/>
      <c r="I23" s="24"/>
      <c r="J23" s="101"/>
      <c r="L23" s="76" t="s">
        <v>86</v>
      </c>
    </row>
    <row r="24" spans="1:10" ht="26.25">
      <c r="A24" s="4"/>
      <c r="B24" s="67" t="s">
        <v>109</v>
      </c>
      <c r="C24" s="26"/>
      <c r="D24" s="26"/>
      <c r="E24" s="26"/>
      <c r="F24" s="26"/>
      <c r="G24" s="26" t="s">
        <v>43</v>
      </c>
      <c r="H24" s="26"/>
      <c r="I24" s="26" t="s">
        <v>554</v>
      </c>
      <c r="J24" s="102"/>
    </row>
    <row r="25" spans="2:10" ht="14.25" customHeight="1">
      <c r="B25" s="10"/>
      <c r="C25" s="10"/>
      <c r="D25" s="10"/>
      <c r="E25" s="10"/>
      <c r="F25" s="10"/>
      <c r="G25" s="10"/>
      <c r="H25" s="10"/>
      <c r="I25" s="10"/>
      <c r="J25" s="10"/>
    </row>
    <row r="26" spans="1:13" ht="90.75" customHeight="1">
      <c r="A26" s="4"/>
      <c r="B26" s="36" t="s">
        <v>555</v>
      </c>
      <c r="C26" s="36"/>
      <c r="D26" s="36"/>
      <c r="E26" s="36"/>
      <c r="F26" s="36"/>
      <c r="G26" s="37" t="s">
        <v>52</v>
      </c>
      <c r="H26" s="37"/>
      <c r="I26" s="37"/>
      <c r="J26" s="37"/>
      <c r="K26" s="8"/>
      <c r="M26" s="76" t="s">
        <v>556</v>
      </c>
    </row>
    <row r="27" spans="1:13" ht="26.25" customHeight="1">
      <c r="A27" s="4"/>
      <c r="B27" s="38" t="s">
        <v>557</v>
      </c>
      <c r="C27" s="38"/>
      <c r="D27" s="38"/>
      <c r="E27" s="38"/>
      <c r="F27" s="38"/>
      <c r="G27" s="25"/>
      <c r="H27" s="25"/>
      <c r="I27" s="25"/>
      <c r="J27" s="25"/>
      <c r="K27" s="8"/>
      <c r="L27" s="76" t="s">
        <v>558</v>
      </c>
      <c r="M27" s="76" t="s">
        <v>559</v>
      </c>
    </row>
    <row r="28" spans="2:10" ht="14.25" customHeight="1">
      <c r="B28" s="10"/>
      <c r="C28" s="10"/>
      <c r="D28" s="10"/>
      <c r="E28" s="10"/>
      <c r="F28" s="10"/>
      <c r="G28" s="10"/>
      <c r="H28" s="10"/>
      <c r="I28" s="10"/>
      <c r="J28" s="10"/>
    </row>
    <row r="29" spans="1:10" ht="77.25" customHeight="1">
      <c r="A29" s="4"/>
      <c r="B29" s="30" t="s">
        <v>560</v>
      </c>
      <c r="C29" s="19" t="s">
        <v>28</v>
      </c>
      <c r="D29" s="19"/>
      <c r="E29" s="19"/>
      <c r="F29" s="19"/>
      <c r="G29" s="31" t="s">
        <v>29</v>
      </c>
      <c r="H29" s="31"/>
      <c r="I29" s="26" t="s">
        <v>561</v>
      </c>
      <c r="J29" s="102" t="s">
        <v>562</v>
      </c>
    </row>
    <row r="30" spans="1:10" ht="12.75">
      <c r="A30" s="4"/>
      <c r="B30" s="33" t="s">
        <v>32</v>
      </c>
      <c r="C30" s="23"/>
      <c r="D30" s="23" t="s">
        <v>33</v>
      </c>
      <c r="E30" s="23" t="s">
        <v>34</v>
      </c>
      <c r="F30" s="23" t="s">
        <v>35</v>
      </c>
      <c r="G30" s="33" t="s">
        <v>36</v>
      </c>
      <c r="H30" s="33" t="s">
        <v>37</v>
      </c>
      <c r="I30" s="33" t="s">
        <v>38</v>
      </c>
      <c r="J30" s="99" t="s">
        <v>39</v>
      </c>
    </row>
    <row r="31" spans="1:12" ht="13.5">
      <c r="A31" s="4"/>
      <c r="B31" s="57" t="s">
        <v>546</v>
      </c>
      <c r="C31" s="25"/>
      <c r="D31" s="25"/>
      <c r="E31" s="25"/>
      <c r="F31" s="25"/>
      <c r="G31" s="24" t="s">
        <v>41</v>
      </c>
      <c r="H31" s="24"/>
      <c r="I31" s="27">
        <f>HYPERLINK("MessageRecord!TimeSpan_MsgStore","TimeSpan")</f>
        <v>0</v>
      </c>
      <c r="J31" s="101"/>
      <c r="L31" s="76" t="s">
        <v>189</v>
      </c>
    </row>
    <row r="32" spans="1:12" ht="142.5" customHeight="1">
      <c r="A32" s="4"/>
      <c r="B32" s="57" t="s">
        <v>563</v>
      </c>
      <c r="C32" s="25"/>
      <c r="D32" s="25"/>
      <c r="E32" s="25"/>
      <c r="F32" s="25"/>
      <c r="G32" s="103">
        <f>HYPERLINK("MessageRecord!NOTE_1_MsgStore","NOTE 1")</f>
        <v>0</v>
      </c>
      <c r="H32" s="24"/>
      <c r="I32" s="24" t="s">
        <v>564</v>
      </c>
      <c r="J32" s="101"/>
      <c r="L32" s="76" t="s">
        <v>77</v>
      </c>
    </row>
    <row r="33" spans="1:12" ht="51.75">
      <c r="A33" s="4"/>
      <c r="B33" s="57" t="s">
        <v>565</v>
      </c>
      <c r="C33" s="25"/>
      <c r="D33" s="25"/>
      <c r="E33" s="25"/>
      <c r="F33" s="25"/>
      <c r="G33" s="24" t="s">
        <v>41</v>
      </c>
      <c r="H33" s="24"/>
      <c r="I33" s="24" t="s">
        <v>566</v>
      </c>
      <c r="J33" s="101"/>
      <c r="L33" s="76" t="s">
        <v>567</v>
      </c>
    </row>
    <row r="34" spans="1:13" ht="26.25">
      <c r="A34" s="4"/>
      <c r="B34" s="57" t="s">
        <v>568</v>
      </c>
      <c r="C34" s="25"/>
      <c r="D34" s="25"/>
      <c r="E34" s="25"/>
      <c r="F34" s="25"/>
      <c r="G34" s="24" t="s">
        <v>41</v>
      </c>
      <c r="H34" s="24"/>
      <c r="I34" s="24" t="s">
        <v>569</v>
      </c>
      <c r="J34" s="101"/>
      <c r="L34" s="76" t="s">
        <v>570</v>
      </c>
      <c r="M34" s="76" t="s">
        <v>571</v>
      </c>
    </row>
    <row r="35" spans="2:13" ht="14.25" customHeight="1">
      <c r="B35" s="10"/>
      <c r="C35" s="10"/>
      <c r="D35" s="10"/>
      <c r="E35" s="10"/>
      <c r="F35" s="10"/>
      <c r="G35" s="10"/>
      <c r="H35" s="10"/>
      <c r="I35" s="29"/>
      <c r="J35" s="29"/>
      <c r="M35" s="76" t="s">
        <v>572</v>
      </c>
    </row>
    <row r="36" spans="1:10" ht="12.75">
      <c r="A36" s="4"/>
      <c r="B36" s="30" t="s">
        <v>573</v>
      </c>
      <c r="C36" s="19" t="s">
        <v>28</v>
      </c>
      <c r="D36" s="19"/>
      <c r="E36" s="19"/>
      <c r="F36" s="19"/>
      <c r="G36" s="31" t="s">
        <v>29</v>
      </c>
      <c r="H36" s="31"/>
      <c r="I36" s="32"/>
      <c r="J36" s="13"/>
    </row>
    <row r="37" spans="1:10" ht="12.75">
      <c r="A37" s="4"/>
      <c r="B37" s="33" t="s">
        <v>32</v>
      </c>
      <c r="C37" s="23"/>
      <c r="D37" s="23" t="s">
        <v>33</v>
      </c>
      <c r="E37" s="23" t="s">
        <v>34</v>
      </c>
      <c r="F37" s="23" t="s">
        <v>35</v>
      </c>
      <c r="G37" s="33" t="s">
        <v>36</v>
      </c>
      <c r="H37" s="33" t="s">
        <v>37</v>
      </c>
      <c r="I37" s="33" t="s">
        <v>38</v>
      </c>
      <c r="J37" s="99" t="s">
        <v>39</v>
      </c>
    </row>
    <row r="38" spans="1:12" ht="13.5">
      <c r="A38" s="4"/>
      <c r="B38" s="57" t="s">
        <v>106</v>
      </c>
      <c r="C38" s="25"/>
      <c r="D38" s="25"/>
      <c r="E38" s="25"/>
      <c r="F38" s="25"/>
      <c r="G38" s="24" t="s">
        <v>41</v>
      </c>
      <c r="H38" s="24"/>
      <c r="I38" s="24"/>
      <c r="J38" s="101"/>
      <c r="L38" s="76" t="s">
        <v>553</v>
      </c>
    </row>
    <row r="39" spans="1:12" ht="13.5">
      <c r="A39" s="4"/>
      <c r="B39" s="57" t="s">
        <v>108</v>
      </c>
      <c r="C39" s="25"/>
      <c r="D39" s="25"/>
      <c r="E39" s="25"/>
      <c r="F39" s="25"/>
      <c r="G39" s="24" t="s">
        <v>41</v>
      </c>
      <c r="H39" s="24"/>
      <c r="I39" s="24"/>
      <c r="J39" s="101"/>
      <c r="L39" s="76" t="s">
        <v>86</v>
      </c>
    </row>
    <row r="40" spans="1:10" ht="13.5">
      <c r="A40" s="4"/>
      <c r="B40" s="67" t="s">
        <v>109</v>
      </c>
      <c r="C40" s="26"/>
      <c r="D40" s="26"/>
      <c r="E40" s="26"/>
      <c r="F40" s="26"/>
      <c r="G40" s="26" t="s">
        <v>43</v>
      </c>
      <c r="H40" s="26"/>
      <c r="I40" s="26"/>
      <c r="J40" s="102"/>
    </row>
    <row r="41" spans="2:10" ht="14.25" customHeight="1">
      <c r="B41" s="10"/>
      <c r="C41" s="10"/>
      <c r="D41" s="10"/>
      <c r="E41" s="10"/>
      <c r="F41" s="10"/>
      <c r="G41" s="10"/>
      <c r="H41" s="10"/>
      <c r="I41" s="29"/>
      <c r="J41" s="29"/>
    </row>
    <row r="42" spans="1:10" ht="12.75">
      <c r="A42" s="4"/>
      <c r="B42" s="30" t="s">
        <v>247</v>
      </c>
      <c r="C42" s="19" t="s">
        <v>28</v>
      </c>
      <c r="D42" s="19"/>
      <c r="E42" s="19"/>
      <c r="F42" s="19"/>
      <c r="G42" s="31" t="s">
        <v>29</v>
      </c>
      <c r="H42" s="31"/>
      <c r="I42" s="32"/>
      <c r="J42" s="13"/>
    </row>
    <row r="43" spans="1:10" ht="12.75">
      <c r="A43" s="4"/>
      <c r="B43" s="33" t="s">
        <v>32</v>
      </c>
      <c r="C43" s="23"/>
      <c r="D43" s="23" t="s">
        <v>33</v>
      </c>
      <c r="E43" s="23" t="s">
        <v>34</v>
      </c>
      <c r="F43" s="23" t="s">
        <v>35</v>
      </c>
      <c r="G43" s="33" t="s">
        <v>36</v>
      </c>
      <c r="H43" s="33" t="s">
        <v>37</v>
      </c>
      <c r="I43" s="33" t="s">
        <v>38</v>
      </c>
      <c r="J43" s="99" t="s">
        <v>39</v>
      </c>
    </row>
    <row r="44" spans="1:12" ht="12.75">
      <c r="A44" s="4"/>
      <c r="B44" s="57" t="s">
        <v>248</v>
      </c>
      <c r="C44" s="35"/>
      <c r="D44" s="35"/>
      <c r="E44" s="35"/>
      <c r="F44" s="35"/>
      <c r="G44" s="34" t="s">
        <v>41</v>
      </c>
      <c r="H44" s="22"/>
      <c r="I44" s="59">
        <f>HYPERLINK("MessageRecord!BillingMethod","BillingMethod")</f>
        <v>0</v>
      </c>
      <c r="J44" s="99"/>
      <c r="L44" s="76" t="s">
        <v>249</v>
      </c>
    </row>
    <row r="45" spans="1:12" ht="12.75">
      <c r="A45" s="4"/>
      <c r="B45" s="57" t="s">
        <v>250</v>
      </c>
      <c r="C45" s="35"/>
      <c r="D45" s="35"/>
      <c r="E45" s="35"/>
      <c r="F45" s="35"/>
      <c r="G45" s="34" t="s">
        <v>41</v>
      </c>
      <c r="H45" s="22"/>
      <c r="I45" s="59">
        <f>HYPERLINK("MessageRecord!BankAccount","BankAccount")</f>
        <v>0</v>
      </c>
      <c r="J45" s="99"/>
      <c r="L45" s="76" t="s">
        <v>251</v>
      </c>
    </row>
    <row r="46" spans="1:12" ht="12.75">
      <c r="A46" s="4"/>
      <c r="B46" s="57" t="s">
        <v>252</v>
      </c>
      <c r="C46" s="35"/>
      <c r="D46" s="35"/>
      <c r="E46" s="35"/>
      <c r="F46" s="35"/>
      <c r="G46" s="34" t="s">
        <v>41</v>
      </c>
      <c r="H46" s="22"/>
      <c r="I46" s="59">
        <f>HYPERLINK("MessageRecord!ContactDetails_MsgSubs_Billing","ContactDetails")</f>
        <v>0</v>
      </c>
      <c r="J46" s="99"/>
      <c r="L46" s="76" t="s">
        <v>113</v>
      </c>
    </row>
    <row r="47" spans="2:10" ht="14.25" customHeight="1">
      <c r="B47" s="10"/>
      <c r="C47" s="10"/>
      <c r="D47" s="10"/>
      <c r="E47" s="10"/>
      <c r="F47" s="10"/>
      <c r="G47" s="10"/>
      <c r="H47" s="10"/>
      <c r="I47" s="29"/>
      <c r="J47" s="29"/>
    </row>
    <row r="48" spans="1:10" ht="12.75">
      <c r="A48" s="4"/>
      <c r="B48" s="30" t="s">
        <v>253</v>
      </c>
      <c r="C48" s="19" t="s">
        <v>28</v>
      </c>
      <c r="D48" s="19"/>
      <c r="E48" s="19"/>
      <c r="F48" s="19"/>
      <c r="G48" s="31" t="s">
        <v>29</v>
      </c>
      <c r="H48" s="31"/>
      <c r="I48" s="32"/>
      <c r="J48" s="13"/>
    </row>
    <row r="49" spans="1:10" ht="12.75">
      <c r="A49" s="4"/>
      <c r="B49" s="33" t="s">
        <v>32</v>
      </c>
      <c r="C49" s="23"/>
      <c r="D49" s="23" t="s">
        <v>33</v>
      </c>
      <c r="E49" s="23" t="s">
        <v>34</v>
      </c>
      <c r="F49" s="23" t="s">
        <v>35</v>
      </c>
      <c r="G49" s="33" t="s">
        <v>36</v>
      </c>
      <c r="H49" s="33" t="s">
        <v>37</v>
      </c>
      <c r="I49" s="33" t="s">
        <v>38</v>
      </c>
      <c r="J49" s="99" t="s">
        <v>39</v>
      </c>
    </row>
    <row r="50" spans="1:10" ht="12.75">
      <c r="A50" s="4"/>
      <c r="B50" s="57" t="s">
        <v>254</v>
      </c>
      <c r="C50" s="35"/>
      <c r="D50" s="35"/>
      <c r="E50" s="35"/>
      <c r="F50" s="35"/>
      <c r="G50" s="34" t="s">
        <v>41</v>
      </c>
      <c r="H50" s="22"/>
      <c r="I50" s="22"/>
      <c r="J50" s="99"/>
    </row>
    <row r="51" spans="1:12" ht="12.75">
      <c r="A51" s="4"/>
      <c r="B51" s="57" t="s">
        <v>255</v>
      </c>
      <c r="C51" s="35"/>
      <c r="D51" s="35"/>
      <c r="E51" s="35"/>
      <c r="F51" s="35"/>
      <c r="G51" s="34" t="s">
        <v>41</v>
      </c>
      <c r="H51" s="22"/>
      <c r="I51" s="22"/>
      <c r="J51" s="99"/>
      <c r="L51" s="76" t="s">
        <v>574</v>
      </c>
    </row>
    <row r="52" spans="1:10" ht="12.75">
      <c r="A52" s="4"/>
      <c r="B52" s="57" t="s">
        <v>256</v>
      </c>
      <c r="C52" s="35"/>
      <c r="D52" s="35"/>
      <c r="E52" s="35"/>
      <c r="F52" s="35"/>
      <c r="G52" s="34" t="s">
        <v>41</v>
      </c>
      <c r="H52" s="22"/>
      <c r="I52" s="22"/>
      <c r="J52" s="99"/>
    </row>
    <row r="53" spans="2:10" ht="14.25" customHeight="1">
      <c r="B53" s="10"/>
      <c r="C53" s="10"/>
      <c r="D53" s="10"/>
      <c r="E53" s="10"/>
      <c r="F53" s="10"/>
      <c r="G53" s="10"/>
      <c r="H53" s="10"/>
      <c r="I53" s="29"/>
      <c r="J53" s="29"/>
    </row>
    <row r="54" spans="1:10" ht="12.75">
      <c r="A54" s="4"/>
      <c r="B54" s="30" t="s">
        <v>258</v>
      </c>
      <c r="C54" s="19" t="s">
        <v>28</v>
      </c>
      <c r="D54" s="19"/>
      <c r="E54" s="19"/>
      <c r="F54" s="19"/>
      <c r="G54" s="31" t="s">
        <v>29</v>
      </c>
      <c r="H54" s="31"/>
      <c r="I54" s="32"/>
      <c r="J54" s="13"/>
    </row>
    <row r="55" spans="1:10" ht="12.75">
      <c r="A55" s="4"/>
      <c r="B55" s="33" t="s">
        <v>32</v>
      </c>
      <c r="C55" s="23"/>
      <c r="D55" s="23" t="s">
        <v>33</v>
      </c>
      <c r="E55" s="23" t="s">
        <v>34</v>
      </c>
      <c r="F55" s="23" t="s">
        <v>35</v>
      </c>
      <c r="G55" s="33" t="s">
        <v>36</v>
      </c>
      <c r="H55" s="33" t="s">
        <v>37</v>
      </c>
      <c r="I55" s="33" t="s">
        <v>38</v>
      </c>
      <c r="J55" s="99" t="s">
        <v>39</v>
      </c>
    </row>
    <row r="56" spans="1:12" ht="57" customHeight="1">
      <c r="A56" s="4"/>
      <c r="B56" s="57" t="s">
        <v>259</v>
      </c>
      <c r="C56" s="35"/>
      <c r="D56" s="35"/>
      <c r="E56" s="35"/>
      <c r="F56" s="35"/>
      <c r="G56" s="34" t="s">
        <v>41</v>
      </c>
      <c r="H56" s="22"/>
      <c r="I56" s="24" t="s">
        <v>260</v>
      </c>
      <c r="J56" s="101"/>
      <c r="L56" s="76" t="s">
        <v>575</v>
      </c>
    </row>
    <row r="57" spans="1:12" ht="42.75" customHeight="1">
      <c r="A57" s="4"/>
      <c r="B57" s="57" t="s">
        <v>262</v>
      </c>
      <c r="C57" s="35"/>
      <c r="D57" s="35"/>
      <c r="E57" s="35"/>
      <c r="F57" s="35"/>
      <c r="G57" s="34" t="s">
        <v>263</v>
      </c>
      <c r="H57" s="22"/>
      <c r="I57" s="24" t="s">
        <v>264</v>
      </c>
      <c r="J57" s="101"/>
      <c r="L57" s="76" t="s">
        <v>576</v>
      </c>
    </row>
    <row r="58" spans="1:12" ht="13.5">
      <c r="A58" s="4"/>
      <c r="B58" s="57" t="s">
        <v>265</v>
      </c>
      <c r="C58" s="35"/>
      <c r="D58" s="35"/>
      <c r="E58" s="35"/>
      <c r="F58" s="35"/>
      <c r="G58" s="34" t="s">
        <v>41</v>
      </c>
      <c r="H58" s="22"/>
      <c r="I58" s="24" t="s">
        <v>123</v>
      </c>
      <c r="J58" s="101"/>
      <c r="L58" s="76" t="s">
        <v>66</v>
      </c>
    </row>
    <row r="59" spans="1:12" ht="42.75" customHeight="1">
      <c r="A59" s="4"/>
      <c r="B59" s="57" t="s">
        <v>266</v>
      </c>
      <c r="C59" s="35"/>
      <c r="D59" s="35"/>
      <c r="E59" s="35"/>
      <c r="F59" s="35"/>
      <c r="G59" s="34" t="s">
        <v>41</v>
      </c>
      <c r="H59" s="22"/>
      <c r="I59" s="24" t="s">
        <v>267</v>
      </c>
      <c r="J59" s="101"/>
      <c r="L59" s="76" t="s">
        <v>86</v>
      </c>
    </row>
    <row r="60" spans="1:12" ht="39">
      <c r="A60" s="4"/>
      <c r="B60" s="57" t="s">
        <v>268</v>
      </c>
      <c r="C60" s="35"/>
      <c r="D60" s="35"/>
      <c r="E60" s="35"/>
      <c r="F60" s="35"/>
      <c r="G60" s="34" t="s">
        <v>41</v>
      </c>
      <c r="H60" s="22"/>
      <c r="I60" s="24" t="s">
        <v>269</v>
      </c>
      <c r="J60" s="101"/>
      <c r="L60" s="76" t="s">
        <v>86</v>
      </c>
    </row>
    <row r="61" spans="1:12" ht="13.5">
      <c r="A61" s="4"/>
      <c r="B61" s="57" t="s">
        <v>270</v>
      </c>
      <c r="C61" s="35"/>
      <c r="D61" s="35"/>
      <c r="E61" s="35"/>
      <c r="F61" s="35"/>
      <c r="G61" s="34" t="s">
        <v>41</v>
      </c>
      <c r="H61" s="22"/>
      <c r="I61" s="24" t="s">
        <v>123</v>
      </c>
      <c r="J61" s="101"/>
      <c r="L61" s="76" t="s">
        <v>577</v>
      </c>
    </row>
    <row r="62" spans="2:10" ht="14.25" customHeight="1">
      <c r="B62" s="10"/>
      <c r="C62" s="10"/>
      <c r="D62" s="10"/>
      <c r="E62" s="10"/>
      <c r="F62" s="10"/>
      <c r="G62" s="10"/>
      <c r="H62" s="10"/>
      <c r="I62" s="29"/>
      <c r="J62" s="29"/>
    </row>
    <row r="63" spans="1:10" ht="12.75">
      <c r="A63" s="4"/>
      <c r="B63" s="30" t="s">
        <v>285</v>
      </c>
      <c r="C63" s="19" t="s">
        <v>28</v>
      </c>
      <c r="D63" s="19"/>
      <c r="E63" s="19"/>
      <c r="F63" s="19"/>
      <c r="G63" s="31" t="s">
        <v>29</v>
      </c>
      <c r="H63" s="31"/>
      <c r="I63" s="32"/>
      <c r="J63" s="13"/>
    </row>
    <row r="64" spans="1:10" ht="12.75">
      <c r="A64" s="4"/>
      <c r="B64" s="104" t="s">
        <v>32</v>
      </c>
      <c r="C64" s="105"/>
      <c r="D64" s="105" t="s">
        <v>33</v>
      </c>
      <c r="E64" s="105" t="s">
        <v>34</v>
      </c>
      <c r="F64" s="105" t="s">
        <v>35</v>
      </c>
      <c r="G64" s="33" t="s">
        <v>36</v>
      </c>
      <c r="H64" s="33" t="s">
        <v>37</v>
      </c>
      <c r="I64" s="33" t="s">
        <v>38</v>
      </c>
      <c r="J64" s="99" t="s">
        <v>39</v>
      </c>
    </row>
    <row r="65" spans="1:12" ht="12.75">
      <c r="A65" s="4"/>
      <c r="B65" s="106" t="s">
        <v>74</v>
      </c>
      <c r="C65" s="107"/>
      <c r="D65" s="107"/>
      <c r="E65" s="107"/>
      <c r="F65" s="107"/>
      <c r="G65" s="22" t="s">
        <v>41</v>
      </c>
      <c r="H65" s="22"/>
      <c r="I65" s="59">
        <f>HYPERLINK("MessageRecord!AddressInformation_MsgSubs_Billing","AddressInformation")</f>
        <v>0</v>
      </c>
      <c r="J65" s="99"/>
      <c r="L65" s="76" t="s">
        <v>419</v>
      </c>
    </row>
    <row r="66" spans="1:12" ht="12.75">
      <c r="A66" s="4"/>
      <c r="B66" s="57" t="s">
        <v>76</v>
      </c>
      <c r="C66" s="35"/>
      <c r="D66" s="35"/>
      <c r="E66" s="35"/>
      <c r="F66" s="35"/>
      <c r="G66" s="34" t="s">
        <v>41</v>
      </c>
      <c r="H66" s="22"/>
      <c r="I66" s="22"/>
      <c r="J66" s="99"/>
      <c r="L66" s="76" t="s">
        <v>578</v>
      </c>
    </row>
    <row r="67" spans="1:12" ht="26.25">
      <c r="A67" s="4"/>
      <c r="B67" s="57" t="s">
        <v>78</v>
      </c>
      <c r="C67" s="35"/>
      <c r="D67" s="35"/>
      <c r="E67" s="35"/>
      <c r="F67" s="35"/>
      <c r="G67" s="34" t="s">
        <v>41</v>
      </c>
      <c r="H67" s="22"/>
      <c r="I67" s="24" t="s">
        <v>79</v>
      </c>
      <c r="J67" s="99"/>
      <c r="L67" s="48">
        <v>41712985849</v>
      </c>
    </row>
    <row r="68" spans="1:12" ht="26.25">
      <c r="A68" s="4"/>
      <c r="B68" s="57" t="s">
        <v>80</v>
      </c>
      <c r="C68" s="35"/>
      <c r="D68" s="35"/>
      <c r="E68" s="35"/>
      <c r="F68" s="35"/>
      <c r="G68" s="34" t="s">
        <v>41</v>
      </c>
      <c r="H68" s="22"/>
      <c r="I68" s="24" t="s">
        <v>81</v>
      </c>
      <c r="J68" s="99"/>
      <c r="L68" s="76" t="s">
        <v>86</v>
      </c>
    </row>
    <row r="69" spans="2:10" ht="14.25" customHeight="1">
      <c r="B69" s="10"/>
      <c r="C69" s="10"/>
      <c r="D69" s="10"/>
      <c r="E69" s="10"/>
      <c r="F69" s="10"/>
      <c r="G69" s="10"/>
      <c r="H69" s="10"/>
      <c r="I69" s="29"/>
      <c r="J69" s="29"/>
    </row>
    <row r="70" spans="1:10" ht="12.75">
      <c r="A70" s="4"/>
      <c r="B70" s="30" t="s">
        <v>83</v>
      </c>
      <c r="C70" s="19" t="s">
        <v>28</v>
      </c>
      <c r="D70" s="19"/>
      <c r="E70" s="19"/>
      <c r="F70" s="19"/>
      <c r="G70" s="31" t="s">
        <v>29</v>
      </c>
      <c r="H70" s="31"/>
      <c r="I70" s="32"/>
      <c r="J70" s="13"/>
    </row>
    <row r="71" spans="1:10" ht="12.75">
      <c r="A71" s="4"/>
      <c r="B71" s="33" t="s">
        <v>32</v>
      </c>
      <c r="C71" s="23"/>
      <c r="D71" s="23" t="s">
        <v>33</v>
      </c>
      <c r="E71" s="23" t="s">
        <v>34</v>
      </c>
      <c r="F71" s="23" t="s">
        <v>35</v>
      </c>
      <c r="G71" s="33" t="s">
        <v>36</v>
      </c>
      <c r="H71" s="33" t="s">
        <v>37</v>
      </c>
      <c r="I71" s="33" t="s">
        <v>38</v>
      </c>
      <c r="J71" s="99" t="s">
        <v>39</v>
      </c>
    </row>
    <row r="72" spans="1:12" ht="12.75">
      <c r="A72" s="4"/>
      <c r="B72" s="57" t="s">
        <v>84</v>
      </c>
      <c r="C72" s="35"/>
      <c r="D72" s="35"/>
      <c r="E72" s="35"/>
      <c r="F72" s="35"/>
      <c r="G72" s="34" t="s">
        <v>41</v>
      </c>
      <c r="H72" s="22"/>
      <c r="I72" s="22"/>
      <c r="J72" s="99"/>
      <c r="L72" s="48">
        <v>2</v>
      </c>
    </row>
    <row r="73" spans="1:12" ht="12.75">
      <c r="A73" s="4"/>
      <c r="B73" s="57" t="s">
        <v>85</v>
      </c>
      <c r="C73" s="35"/>
      <c r="D73" s="35"/>
      <c r="E73" s="35"/>
      <c r="F73" s="35"/>
      <c r="G73" s="34" t="s">
        <v>41</v>
      </c>
      <c r="H73" s="22"/>
      <c r="I73" s="22"/>
      <c r="J73" s="99"/>
      <c r="L73" s="48" t="s">
        <v>86</v>
      </c>
    </row>
    <row r="74" spans="1:12" ht="12.75">
      <c r="A74" s="4"/>
      <c r="B74" s="57" t="s">
        <v>87</v>
      </c>
      <c r="C74" s="35"/>
      <c r="D74" s="35"/>
      <c r="E74" s="35"/>
      <c r="F74" s="35"/>
      <c r="G74" s="34" t="s">
        <v>41</v>
      </c>
      <c r="H74" s="22"/>
      <c r="I74" s="22"/>
      <c r="J74" s="99"/>
      <c r="L74" s="48" t="s">
        <v>88</v>
      </c>
    </row>
    <row r="75" spans="1:12" ht="12.75">
      <c r="A75" s="4"/>
      <c r="B75" s="57" t="s">
        <v>89</v>
      </c>
      <c r="C75" s="35"/>
      <c r="D75" s="35"/>
      <c r="E75" s="35"/>
      <c r="F75" s="35"/>
      <c r="G75" s="34" t="s">
        <v>41</v>
      </c>
      <c r="H75" s="22"/>
      <c r="I75" s="22"/>
      <c r="J75" s="99"/>
      <c r="L75" s="48" t="s">
        <v>90</v>
      </c>
    </row>
    <row r="76" spans="1:12" ht="12.75">
      <c r="A76" s="4"/>
      <c r="B76" s="57" t="s">
        <v>91</v>
      </c>
      <c r="C76" s="35"/>
      <c r="D76" s="35"/>
      <c r="E76" s="35"/>
      <c r="F76" s="35"/>
      <c r="G76" s="34" t="s">
        <v>41</v>
      </c>
      <c r="H76" s="22"/>
      <c r="I76" s="22"/>
      <c r="J76" s="99"/>
      <c r="L76" s="48" t="s">
        <v>92</v>
      </c>
    </row>
    <row r="77" spans="1:12" ht="12.75">
      <c r="A77" s="4"/>
      <c r="B77" s="57" t="s">
        <v>93</v>
      </c>
      <c r="C77" s="35"/>
      <c r="D77" s="35"/>
      <c r="E77" s="35"/>
      <c r="F77" s="35"/>
      <c r="G77" s="34" t="s">
        <v>41</v>
      </c>
      <c r="H77" s="22"/>
      <c r="I77" s="22" t="s">
        <v>94</v>
      </c>
      <c r="J77" s="99"/>
      <c r="L77" s="48">
        <v>8045</v>
      </c>
    </row>
    <row r="78" spans="1:12" ht="12.75">
      <c r="A78" s="4"/>
      <c r="B78" s="67" t="s">
        <v>95</v>
      </c>
      <c r="C78" s="68"/>
      <c r="D78" s="68"/>
      <c r="E78" s="68"/>
      <c r="F78" s="68"/>
      <c r="G78" s="68" t="s">
        <v>43</v>
      </c>
      <c r="H78" s="7" t="s">
        <v>43</v>
      </c>
      <c r="I78" s="7"/>
      <c r="J78" s="108"/>
      <c r="L78" s="48"/>
    </row>
    <row r="79" spans="1:12" ht="27" customHeight="1">
      <c r="A79" s="4"/>
      <c r="B79" s="57" t="s">
        <v>96</v>
      </c>
      <c r="C79" s="34"/>
      <c r="D79" s="35"/>
      <c r="E79" s="35"/>
      <c r="F79" s="35"/>
      <c r="G79" s="34" t="s">
        <v>41</v>
      </c>
      <c r="H79" s="22"/>
      <c r="I79" s="18" t="s">
        <v>97</v>
      </c>
      <c r="J79" s="99"/>
      <c r="L79" s="48" t="s">
        <v>98</v>
      </c>
    </row>
    <row r="80" spans="1:12" ht="12.75">
      <c r="A80" s="4"/>
      <c r="B80" s="67" t="s">
        <v>99</v>
      </c>
      <c r="C80" s="68"/>
      <c r="D80" s="68"/>
      <c r="E80" s="68"/>
      <c r="F80" s="68"/>
      <c r="G80" s="68" t="s">
        <v>43</v>
      </c>
      <c r="H80" s="7" t="s">
        <v>43</v>
      </c>
      <c r="I80" s="7"/>
      <c r="J80" s="108"/>
      <c r="L80" s="48"/>
    </row>
    <row r="81" spans="1:12" ht="12.75">
      <c r="A81" s="4"/>
      <c r="B81" s="57" t="s">
        <v>100</v>
      </c>
      <c r="C81" s="34"/>
      <c r="D81" s="35"/>
      <c r="E81" s="35"/>
      <c r="F81" s="35"/>
      <c r="G81" s="34" t="s">
        <v>41</v>
      </c>
      <c r="H81" s="22"/>
      <c r="I81" s="22"/>
      <c r="J81" s="99"/>
      <c r="L81" s="48" t="s">
        <v>101</v>
      </c>
    </row>
    <row r="82" spans="1:12" ht="12.75">
      <c r="A82" s="4"/>
      <c r="B82" s="57" t="s">
        <v>102</v>
      </c>
      <c r="C82" s="34"/>
      <c r="D82" s="35"/>
      <c r="E82" s="35"/>
      <c r="F82" s="35"/>
      <c r="G82" s="34" t="s">
        <v>41</v>
      </c>
      <c r="H82" s="22"/>
      <c r="I82" s="22"/>
      <c r="J82" s="99"/>
      <c r="L82" s="48" t="s">
        <v>103</v>
      </c>
    </row>
    <row r="83" spans="1:12" ht="12.75">
      <c r="A83" s="4"/>
      <c r="B83" s="57" t="s">
        <v>242</v>
      </c>
      <c r="C83" s="34"/>
      <c r="D83" s="35"/>
      <c r="E83" s="35"/>
      <c r="F83" s="35"/>
      <c r="G83" s="34" t="s">
        <v>41</v>
      </c>
      <c r="H83" s="22"/>
      <c r="I83" s="59">
        <f>HYPERLINK("MessageRecord!Msg_installation_TimeSpan","TimeSpan")</f>
        <v>0</v>
      </c>
      <c r="J83" s="99"/>
      <c r="L83" s="48" t="s">
        <v>189</v>
      </c>
    </row>
    <row r="84" spans="2:12" ht="14.25" customHeight="1">
      <c r="B84" s="60"/>
      <c r="C84" s="79"/>
      <c r="D84" s="79"/>
      <c r="E84" s="79"/>
      <c r="F84" s="79"/>
      <c r="G84" s="79"/>
      <c r="H84" s="10"/>
      <c r="I84" s="29"/>
      <c r="J84" s="29"/>
      <c r="L84" s="48"/>
    </row>
    <row r="85" spans="1:12" ht="12.75">
      <c r="A85" s="4"/>
      <c r="B85" s="30" t="s">
        <v>231</v>
      </c>
      <c r="C85" s="19" t="s">
        <v>28</v>
      </c>
      <c r="D85" s="19"/>
      <c r="E85" s="19"/>
      <c r="F85" s="19"/>
      <c r="G85" s="31" t="s">
        <v>29</v>
      </c>
      <c r="H85" s="31"/>
      <c r="I85" s="32"/>
      <c r="J85" s="13"/>
      <c r="L85" s="48"/>
    </row>
    <row r="86" spans="1:10" ht="12.75">
      <c r="A86" s="4"/>
      <c r="B86" s="33" t="s">
        <v>32</v>
      </c>
      <c r="C86" s="23"/>
      <c r="D86" s="23" t="s">
        <v>33</v>
      </c>
      <c r="E86" s="23" t="s">
        <v>34</v>
      </c>
      <c r="F86" s="23" t="s">
        <v>35</v>
      </c>
      <c r="G86" s="33" t="s">
        <v>36</v>
      </c>
      <c r="H86" s="33" t="s">
        <v>37</v>
      </c>
      <c r="I86" s="33" t="s">
        <v>38</v>
      </c>
      <c r="J86" s="99" t="s">
        <v>39</v>
      </c>
    </row>
    <row r="87" spans="1:12" ht="28.5" customHeight="1">
      <c r="A87" s="4"/>
      <c r="B87" s="57" t="s">
        <v>106</v>
      </c>
      <c r="C87" s="25"/>
      <c r="D87" s="25"/>
      <c r="E87" s="25"/>
      <c r="F87" s="25"/>
      <c r="G87" s="24" t="s">
        <v>41</v>
      </c>
      <c r="H87" s="24"/>
      <c r="I87" s="24" t="s">
        <v>244</v>
      </c>
      <c r="J87" s="101"/>
      <c r="L87" s="48" t="s">
        <v>107</v>
      </c>
    </row>
    <row r="88" spans="1:12" ht="28.5" customHeight="1">
      <c r="A88" s="4"/>
      <c r="B88" s="57" t="s">
        <v>108</v>
      </c>
      <c r="C88" s="25"/>
      <c r="D88" s="25"/>
      <c r="E88" s="25"/>
      <c r="F88" s="25"/>
      <c r="G88" s="24" t="s">
        <v>41</v>
      </c>
      <c r="H88" s="24"/>
      <c r="I88" s="24" t="s">
        <v>246</v>
      </c>
      <c r="J88" s="101"/>
      <c r="L88" s="76" t="s">
        <v>86</v>
      </c>
    </row>
    <row r="89" spans="1:10" ht="13.5">
      <c r="A89" s="4"/>
      <c r="B89" s="67" t="s">
        <v>109</v>
      </c>
      <c r="C89" s="26"/>
      <c r="D89" s="26"/>
      <c r="E89" s="26"/>
      <c r="F89" s="26"/>
      <c r="G89" s="26" t="s">
        <v>43</v>
      </c>
      <c r="H89" s="26"/>
      <c r="I89" s="26"/>
      <c r="J89" s="102"/>
    </row>
    <row r="90" spans="2:10" ht="14.25" customHeight="1">
      <c r="B90" s="29"/>
      <c r="C90" s="29"/>
      <c r="D90" s="29"/>
      <c r="E90" s="29"/>
      <c r="F90" s="29"/>
      <c r="G90" s="29"/>
      <c r="H90" s="29"/>
      <c r="I90" s="29"/>
      <c r="J90" s="29"/>
    </row>
    <row r="91" spans="1:10" ht="12.75">
      <c r="A91" s="50" t="s">
        <v>579</v>
      </c>
      <c r="B91" s="50"/>
      <c r="C91" s="51"/>
      <c r="D91" s="51"/>
      <c r="E91" s="51"/>
      <c r="F91" s="51"/>
      <c r="G91" s="51"/>
      <c r="H91" s="51"/>
      <c r="I91" s="51"/>
      <c r="J91" s="51"/>
    </row>
    <row r="92" spans="2:8" ht="14.25" customHeight="1">
      <c r="B92" s="3"/>
      <c r="C92" s="3"/>
      <c r="D92" s="3"/>
      <c r="E92" s="3"/>
      <c r="F92" s="3"/>
      <c r="G92" s="3"/>
      <c r="H92" s="3"/>
    </row>
    <row r="93" spans="1:10" ht="12.75">
      <c r="A93" s="4"/>
      <c r="B93" s="30" t="s">
        <v>580</v>
      </c>
      <c r="C93" s="19" t="s">
        <v>28</v>
      </c>
      <c r="D93" s="19"/>
      <c r="E93" s="19"/>
      <c r="F93" s="19"/>
      <c r="G93" s="31" t="s">
        <v>29</v>
      </c>
      <c r="H93" s="31"/>
      <c r="I93" s="32"/>
      <c r="J93" s="13"/>
    </row>
    <row r="94" spans="1:10" ht="12.75">
      <c r="A94" s="4"/>
      <c r="B94" s="33" t="s">
        <v>32</v>
      </c>
      <c r="C94" s="23"/>
      <c r="D94" s="23" t="s">
        <v>33</v>
      </c>
      <c r="E94" s="23" t="s">
        <v>34</v>
      </c>
      <c r="F94" s="23" t="s">
        <v>35</v>
      </c>
      <c r="G94" s="33" t="s">
        <v>36</v>
      </c>
      <c r="H94" s="33" t="s">
        <v>37</v>
      </c>
      <c r="I94" s="33" t="s">
        <v>38</v>
      </c>
      <c r="J94" s="99" t="s">
        <v>39</v>
      </c>
    </row>
    <row r="95" spans="1:12" ht="12.75">
      <c r="A95" s="4"/>
      <c r="B95" s="57" t="s">
        <v>581</v>
      </c>
      <c r="C95" s="35"/>
      <c r="D95" s="35"/>
      <c r="E95" s="35"/>
      <c r="F95" s="35"/>
      <c r="G95" s="34" t="s">
        <v>41</v>
      </c>
      <c r="H95" s="22"/>
      <c r="I95" s="59">
        <f>HYPERLINK("MessageRecord!MsgTransmission","MsgTransmission")</f>
        <v>0</v>
      </c>
      <c r="J95" s="99"/>
      <c r="L95" s="76" t="s">
        <v>582</v>
      </c>
    </row>
    <row r="96" spans="1:12" ht="12.75">
      <c r="A96" s="4"/>
      <c r="B96" s="57" t="s">
        <v>583</v>
      </c>
      <c r="C96" s="35"/>
      <c r="D96" s="35"/>
      <c r="E96" s="35"/>
      <c r="F96" s="35"/>
      <c r="G96" s="34" t="s">
        <v>41</v>
      </c>
      <c r="H96" s="22"/>
      <c r="I96" s="59">
        <f>HYPERLINK("MessageRecord!MsgStoreOperation","MsgStoreOperation")</f>
        <v>0</v>
      </c>
      <c r="J96" s="99"/>
      <c r="L96" s="76" t="s">
        <v>584</v>
      </c>
    </row>
    <row r="97" spans="2:10" ht="14.25" customHeight="1">
      <c r="B97" s="10"/>
      <c r="C97" s="10"/>
      <c r="D97" s="10"/>
      <c r="E97" s="10"/>
      <c r="F97" s="10"/>
      <c r="G97" s="10"/>
      <c r="H97" s="10"/>
      <c r="I97" s="10"/>
      <c r="J97" s="10"/>
    </row>
    <row r="98" spans="1:10" ht="85.5" customHeight="1">
      <c r="A98" s="4"/>
      <c r="B98" s="30" t="s">
        <v>585</v>
      </c>
      <c r="C98" s="19" t="s">
        <v>28</v>
      </c>
      <c r="D98" s="19"/>
      <c r="E98" s="19"/>
      <c r="F98" s="19"/>
      <c r="G98" s="31" t="s">
        <v>29</v>
      </c>
      <c r="H98" s="31"/>
      <c r="I98" s="26" t="s">
        <v>561</v>
      </c>
      <c r="J98" s="102" t="s">
        <v>562</v>
      </c>
    </row>
    <row r="99" spans="1:10" ht="12.75">
      <c r="A99" s="4"/>
      <c r="B99" s="33" t="s">
        <v>32</v>
      </c>
      <c r="C99" s="23"/>
      <c r="D99" s="23" t="s">
        <v>33</v>
      </c>
      <c r="E99" s="23" t="s">
        <v>34</v>
      </c>
      <c r="F99" s="23" t="s">
        <v>35</v>
      </c>
      <c r="G99" s="33" t="s">
        <v>36</v>
      </c>
      <c r="H99" s="33" t="s">
        <v>37</v>
      </c>
      <c r="I99" s="33" t="s">
        <v>38</v>
      </c>
      <c r="J99" s="99" t="s">
        <v>39</v>
      </c>
    </row>
    <row r="100" spans="1:12" ht="13.5">
      <c r="A100" s="4"/>
      <c r="B100" s="57" t="s">
        <v>586</v>
      </c>
      <c r="C100" s="35"/>
      <c r="D100" s="35"/>
      <c r="E100" s="35"/>
      <c r="F100" s="35"/>
      <c r="G100" s="34" t="s">
        <v>41</v>
      </c>
      <c r="H100" s="22"/>
      <c r="I100" s="22" t="s">
        <v>115</v>
      </c>
      <c r="J100" s="99"/>
      <c r="L100" s="76" t="s">
        <v>587</v>
      </c>
    </row>
    <row r="101" spans="1:13" ht="165.75">
      <c r="A101" s="4"/>
      <c r="B101" s="57" t="s">
        <v>547</v>
      </c>
      <c r="C101" s="35"/>
      <c r="D101" s="35"/>
      <c r="E101" s="35"/>
      <c r="F101" s="35"/>
      <c r="G101" s="34" t="s">
        <v>41</v>
      </c>
      <c r="H101" s="22"/>
      <c r="I101" s="24" t="s">
        <v>548</v>
      </c>
      <c r="J101" s="109">
        <f>HYPERLINK("MessageRecord!subscriberID_Msg_Service_Usage","subscriberID")</f>
        <v>0</v>
      </c>
      <c r="L101" s="76" t="s">
        <v>216</v>
      </c>
      <c r="M101" s="76" t="s">
        <v>216</v>
      </c>
    </row>
    <row r="102" spans="1:12" ht="13.5">
      <c r="A102" s="4"/>
      <c r="B102" s="57" t="s">
        <v>588</v>
      </c>
      <c r="C102" s="35"/>
      <c r="D102" s="35"/>
      <c r="E102" s="35"/>
      <c r="F102" s="35"/>
      <c r="G102" s="34" t="s">
        <v>41</v>
      </c>
      <c r="H102" s="22"/>
      <c r="I102" s="22" t="s">
        <v>589</v>
      </c>
      <c r="J102" s="99"/>
      <c r="L102" s="76" t="s">
        <v>77</v>
      </c>
    </row>
    <row r="103" spans="1:12" ht="13.5">
      <c r="A103" s="4"/>
      <c r="B103" s="57" t="s">
        <v>590</v>
      </c>
      <c r="C103" s="35"/>
      <c r="D103" s="35"/>
      <c r="E103" s="35"/>
      <c r="F103" s="35"/>
      <c r="G103" s="34" t="s">
        <v>41</v>
      </c>
      <c r="H103" s="22"/>
      <c r="I103" s="22" t="s">
        <v>591</v>
      </c>
      <c r="J103" s="99"/>
      <c r="L103" s="76" t="s">
        <v>592</v>
      </c>
    </row>
    <row r="104" spans="1:12" ht="130.5" customHeight="1">
      <c r="A104" s="4"/>
      <c r="B104" s="57" t="s">
        <v>593</v>
      </c>
      <c r="C104" s="35"/>
      <c r="D104" s="35"/>
      <c r="E104" s="35"/>
      <c r="F104" s="35"/>
      <c r="G104" s="110">
        <f>HYPERLINK("MessageRecord!NOTE_1_MsgTransmission","NOTE 1")</f>
        <v>0</v>
      </c>
      <c r="H104" s="22"/>
      <c r="I104" s="24" t="s">
        <v>594</v>
      </c>
      <c r="J104" s="99"/>
      <c r="L104" s="76" t="s">
        <v>86</v>
      </c>
    </row>
    <row r="105" spans="1:12" ht="12.75">
      <c r="A105" s="4"/>
      <c r="B105" s="57" t="s">
        <v>595</v>
      </c>
      <c r="C105" s="35"/>
      <c r="D105" s="35"/>
      <c r="E105" s="35"/>
      <c r="F105" s="35"/>
      <c r="G105" s="34" t="s">
        <v>41</v>
      </c>
      <c r="H105" s="22"/>
      <c r="I105" s="59">
        <f>HYPERLINK("MessageRecord!deliveryStatus","deliveryStatus")</f>
        <v>0</v>
      </c>
      <c r="J105" s="99"/>
      <c r="L105" s="76" t="s">
        <v>596</v>
      </c>
    </row>
    <row r="106" spans="1:12" ht="12.75">
      <c r="A106" s="4"/>
      <c r="B106" s="57" t="s">
        <v>597</v>
      </c>
      <c r="C106" s="35"/>
      <c r="D106" s="35"/>
      <c r="E106" s="35"/>
      <c r="F106" s="35"/>
      <c r="G106" s="34" t="s">
        <v>41</v>
      </c>
      <c r="H106" s="22"/>
      <c r="I106" s="59">
        <f>HYPERLINK("MessageRecord!protocol","protocol")</f>
        <v>0</v>
      </c>
      <c r="J106" s="99"/>
      <c r="L106" s="76" t="s">
        <v>598</v>
      </c>
    </row>
    <row r="107" spans="1:12" ht="12.75">
      <c r="A107" s="4"/>
      <c r="B107" s="57" t="s">
        <v>599</v>
      </c>
      <c r="C107" s="35"/>
      <c r="D107" s="35"/>
      <c r="E107" s="35"/>
      <c r="F107" s="35"/>
      <c r="G107" s="34" t="s">
        <v>41</v>
      </c>
      <c r="H107" s="22"/>
      <c r="I107" s="59">
        <f>HYPERLINK("MessageRecord!IPAddress_Msg_ClientID","IPAddress")</f>
        <v>0</v>
      </c>
      <c r="J107" s="99"/>
      <c r="L107" s="76" t="s">
        <v>600</v>
      </c>
    </row>
    <row r="108" spans="1:12" ht="12.75">
      <c r="A108" s="4"/>
      <c r="B108" s="57" t="s">
        <v>601</v>
      </c>
      <c r="C108" s="34"/>
      <c r="D108" s="35"/>
      <c r="E108" s="35"/>
      <c r="F108" s="35"/>
      <c r="G108" s="34" t="s">
        <v>41</v>
      </c>
      <c r="H108" s="22"/>
      <c r="I108" s="59">
        <f>HYPERLINK("MessageRecord!IPAddress_Msg_ServerID","IPAddress")</f>
        <v>0</v>
      </c>
      <c r="J108" s="99"/>
      <c r="L108" s="76" t="s">
        <v>600</v>
      </c>
    </row>
    <row r="109" spans="1:12" ht="147" customHeight="1">
      <c r="A109" s="4"/>
      <c r="B109" s="57" t="s">
        <v>602</v>
      </c>
      <c r="C109" s="34"/>
      <c r="D109" s="35"/>
      <c r="E109" s="35"/>
      <c r="F109" s="35"/>
      <c r="G109" s="110">
        <f>HYPERLINK("MessageRecord!NOTE_1_MsgTransmission","NOTE_1")</f>
        <v>0</v>
      </c>
      <c r="H109" s="22"/>
      <c r="I109" s="24" t="s">
        <v>603</v>
      </c>
      <c r="J109" s="99"/>
      <c r="L109" s="76" t="s">
        <v>604</v>
      </c>
    </row>
    <row r="110" spans="1:12" ht="12.75">
      <c r="A110" s="4"/>
      <c r="B110" s="57" t="s">
        <v>605</v>
      </c>
      <c r="C110" s="34"/>
      <c r="D110" s="35"/>
      <c r="E110" s="35"/>
      <c r="F110" s="35"/>
      <c r="G110" s="34" t="s">
        <v>41</v>
      </c>
      <c r="H110" s="22"/>
      <c r="I110" s="22" t="s">
        <v>123</v>
      </c>
      <c r="J110" s="99"/>
      <c r="L110" s="76" t="s">
        <v>606</v>
      </c>
    </row>
    <row r="111" spans="1:12" ht="15" customHeight="1">
      <c r="A111" s="4"/>
      <c r="B111" s="57" t="s">
        <v>607</v>
      </c>
      <c r="C111" s="34"/>
      <c r="D111" s="35"/>
      <c r="E111" s="35"/>
      <c r="F111" s="35"/>
      <c r="G111" s="34" t="s">
        <v>41</v>
      </c>
      <c r="H111" s="22"/>
      <c r="I111" s="22" t="s">
        <v>123</v>
      </c>
      <c r="J111" s="99"/>
      <c r="L111" s="76" t="s">
        <v>608</v>
      </c>
    </row>
    <row r="112" spans="2:10" ht="14.25" customHeight="1">
      <c r="B112" s="10"/>
      <c r="C112" s="10"/>
      <c r="D112" s="10"/>
      <c r="E112" s="10"/>
      <c r="F112" s="10"/>
      <c r="G112" s="10"/>
      <c r="H112" s="10"/>
      <c r="I112" s="10"/>
      <c r="J112" s="10"/>
    </row>
    <row r="113" spans="1:11" ht="90.75" customHeight="1">
      <c r="A113" s="4"/>
      <c r="B113" s="36" t="s">
        <v>609</v>
      </c>
      <c r="C113" s="36"/>
      <c r="D113" s="36"/>
      <c r="E113" s="36"/>
      <c r="F113" s="36"/>
      <c r="G113" s="37" t="s">
        <v>52</v>
      </c>
      <c r="H113" s="37"/>
      <c r="I113" s="37"/>
      <c r="J113" s="37"/>
      <c r="K113" s="8"/>
    </row>
    <row r="114" spans="1:13" ht="26.25" customHeight="1">
      <c r="A114" s="4"/>
      <c r="B114" s="38" t="s">
        <v>557</v>
      </c>
      <c r="C114" s="38"/>
      <c r="D114" s="38"/>
      <c r="E114" s="38"/>
      <c r="F114" s="38"/>
      <c r="G114" s="25"/>
      <c r="H114" s="25"/>
      <c r="I114" s="25"/>
      <c r="J114" s="25"/>
      <c r="K114" s="8"/>
      <c r="L114" s="76" t="s">
        <v>558</v>
      </c>
      <c r="M114" s="76" t="s">
        <v>610</v>
      </c>
    </row>
    <row r="115" spans="2:10" ht="14.25" customHeight="1">
      <c r="B115" s="10"/>
      <c r="C115" s="10"/>
      <c r="D115" s="10"/>
      <c r="E115" s="10"/>
      <c r="F115" s="10"/>
      <c r="G115" s="10"/>
      <c r="H115" s="10"/>
      <c r="I115" s="29"/>
      <c r="J115" s="29"/>
    </row>
    <row r="116" spans="1:10" ht="12.75">
      <c r="A116" s="4"/>
      <c r="B116" s="30" t="s">
        <v>611</v>
      </c>
      <c r="C116" s="19" t="s">
        <v>28</v>
      </c>
      <c r="D116" s="19"/>
      <c r="E116" s="19"/>
      <c r="F116" s="19"/>
      <c r="G116" s="31" t="s">
        <v>29</v>
      </c>
      <c r="H116" s="31"/>
      <c r="I116" s="32"/>
      <c r="J116" s="13"/>
    </row>
    <row r="117" spans="1:10" ht="12.75">
      <c r="A117" s="4"/>
      <c r="B117" s="33" t="s">
        <v>32</v>
      </c>
      <c r="C117" s="23"/>
      <c r="D117" s="23" t="s">
        <v>33</v>
      </c>
      <c r="E117" s="23" t="s">
        <v>34</v>
      </c>
      <c r="F117" s="23" t="s">
        <v>35</v>
      </c>
      <c r="G117" s="33" t="s">
        <v>36</v>
      </c>
      <c r="H117" s="33" t="s">
        <v>37</v>
      </c>
      <c r="I117" s="33" t="s">
        <v>38</v>
      </c>
      <c r="J117" s="99" t="s">
        <v>39</v>
      </c>
    </row>
    <row r="118" spans="1:10" ht="12.75">
      <c r="A118" s="4"/>
      <c r="B118" s="57" t="s">
        <v>536</v>
      </c>
      <c r="C118" s="35"/>
      <c r="D118" s="35"/>
      <c r="E118" s="35"/>
      <c r="F118" s="35"/>
      <c r="G118" s="34" t="s">
        <v>41</v>
      </c>
      <c r="H118" s="22"/>
      <c r="I118" s="22"/>
      <c r="J118" s="99"/>
    </row>
    <row r="119" spans="1:12" ht="12.75">
      <c r="A119" s="4"/>
      <c r="B119" s="57" t="s">
        <v>612</v>
      </c>
      <c r="C119" s="35"/>
      <c r="D119" s="35"/>
      <c r="E119" s="35"/>
      <c r="F119" s="35"/>
      <c r="G119" s="34" t="s">
        <v>41</v>
      </c>
      <c r="H119" s="22"/>
      <c r="I119" s="22"/>
      <c r="J119" s="99"/>
      <c r="L119" s="76" t="s">
        <v>613</v>
      </c>
    </row>
    <row r="120" spans="1:10" ht="12.75">
      <c r="A120" s="4"/>
      <c r="B120" s="57" t="s">
        <v>614</v>
      </c>
      <c r="C120" s="35"/>
      <c r="D120" s="35"/>
      <c r="E120" s="35"/>
      <c r="F120" s="35"/>
      <c r="G120" s="34" t="s">
        <v>41</v>
      </c>
      <c r="H120" s="22"/>
      <c r="I120" s="22"/>
      <c r="J120" s="99"/>
    </row>
    <row r="121" spans="1:10" ht="12.75">
      <c r="A121" s="4"/>
      <c r="B121" s="57" t="s">
        <v>615</v>
      </c>
      <c r="C121" s="35"/>
      <c r="D121" s="35"/>
      <c r="E121" s="35"/>
      <c r="F121" s="35"/>
      <c r="G121" s="34" t="s">
        <v>41</v>
      </c>
      <c r="H121" s="22"/>
      <c r="I121" s="22"/>
      <c r="J121" s="99"/>
    </row>
    <row r="122" spans="2:10" ht="14.25" customHeight="1">
      <c r="B122" s="10"/>
      <c r="C122" s="10"/>
      <c r="D122" s="10"/>
      <c r="E122" s="10"/>
      <c r="F122" s="10"/>
      <c r="G122" s="10"/>
      <c r="H122" s="10"/>
      <c r="I122" s="29"/>
      <c r="J122" s="29"/>
    </row>
    <row r="123" spans="1:10" ht="12.75">
      <c r="A123" s="4"/>
      <c r="B123" s="30" t="s">
        <v>616</v>
      </c>
      <c r="C123" s="19" t="s">
        <v>28</v>
      </c>
      <c r="D123" s="19"/>
      <c r="E123" s="19"/>
      <c r="F123" s="19"/>
      <c r="G123" s="31" t="s">
        <v>29</v>
      </c>
      <c r="H123" s="31"/>
      <c r="I123" s="32"/>
      <c r="J123" s="13"/>
    </row>
    <row r="124" spans="1:10" ht="12.75">
      <c r="A124" s="4"/>
      <c r="B124" s="33" t="s">
        <v>32</v>
      </c>
      <c r="C124" s="23"/>
      <c r="D124" s="23" t="s">
        <v>33</v>
      </c>
      <c r="E124" s="23" t="s">
        <v>34</v>
      </c>
      <c r="F124" s="23" t="s">
        <v>35</v>
      </c>
      <c r="G124" s="33" t="s">
        <v>36</v>
      </c>
      <c r="H124" s="33" t="s">
        <v>37</v>
      </c>
      <c r="I124" s="33" t="s">
        <v>38</v>
      </c>
      <c r="J124" s="99" t="s">
        <v>39</v>
      </c>
    </row>
    <row r="125" spans="1:12" ht="12.75">
      <c r="A125" s="4"/>
      <c r="B125" s="57" t="s">
        <v>617</v>
      </c>
      <c r="C125" s="35"/>
      <c r="D125" s="35"/>
      <c r="E125" s="35"/>
      <c r="F125" s="35"/>
      <c r="G125" s="34" t="s">
        <v>41</v>
      </c>
      <c r="H125" s="22"/>
      <c r="I125" s="22"/>
      <c r="J125" s="99"/>
      <c r="L125" s="76" t="s">
        <v>618</v>
      </c>
    </row>
    <row r="126" spans="1:10" ht="12.75">
      <c r="A126" s="4"/>
      <c r="B126" s="57" t="s">
        <v>619</v>
      </c>
      <c r="C126" s="35"/>
      <c r="D126" s="35"/>
      <c r="E126" s="35"/>
      <c r="F126" s="35"/>
      <c r="G126" s="34" t="s">
        <v>41</v>
      </c>
      <c r="H126" s="22"/>
      <c r="I126" s="22"/>
      <c r="J126" s="99"/>
    </row>
    <row r="127" spans="2:10" ht="14.25" customHeight="1">
      <c r="B127" s="10"/>
      <c r="C127" s="10"/>
      <c r="D127" s="10"/>
      <c r="E127" s="10"/>
      <c r="F127" s="10"/>
      <c r="G127" s="10"/>
      <c r="H127" s="10"/>
      <c r="I127" s="29"/>
      <c r="J127" s="29"/>
    </row>
    <row r="128" spans="1:10" ht="12.75">
      <c r="A128" s="4"/>
      <c r="B128" s="30" t="s">
        <v>620</v>
      </c>
      <c r="C128" s="19" t="s">
        <v>28</v>
      </c>
      <c r="D128" s="19"/>
      <c r="E128" s="19"/>
      <c r="F128" s="19"/>
      <c r="G128" s="31" t="s">
        <v>29</v>
      </c>
      <c r="H128" s="31"/>
      <c r="I128" s="32"/>
      <c r="J128" s="13"/>
    </row>
    <row r="129" spans="1:10" ht="12.75">
      <c r="A129" s="4"/>
      <c r="B129" s="33" t="s">
        <v>32</v>
      </c>
      <c r="C129" s="23"/>
      <c r="D129" s="23" t="s">
        <v>33</v>
      </c>
      <c r="E129" s="23" t="s">
        <v>34</v>
      </c>
      <c r="F129" s="23" t="s">
        <v>35</v>
      </c>
      <c r="G129" s="33" t="s">
        <v>36</v>
      </c>
      <c r="H129" s="33" t="s">
        <v>37</v>
      </c>
      <c r="I129" s="33" t="s">
        <v>38</v>
      </c>
      <c r="J129" s="99" t="s">
        <v>39</v>
      </c>
    </row>
    <row r="130" spans="1:12" ht="12.75">
      <c r="A130" s="4"/>
      <c r="B130" s="57" t="s">
        <v>621</v>
      </c>
      <c r="C130" s="35"/>
      <c r="D130" s="35"/>
      <c r="E130" s="35"/>
      <c r="F130" s="35"/>
      <c r="G130" s="34" t="s">
        <v>41</v>
      </c>
      <c r="H130" s="22"/>
      <c r="I130" s="22" t="s">
        <v>622</v>
      </c>
      <c r="J130" s="99"/>
      <c r="L130" s="76" t="s">
        <v>623</v>
      </c>
    </row>
    <row r="131" spans="1:12" ht="12.75">
      <c r="A131" s="4"/>
      <c r="B131" s="57" t="s">
        <v>624</v>
      </c>
      <c r="C131" s="35"/>
      <c r="D131" s="35"/>
      <c r="E131" s="35"/>
      <c r="F131" s="35"/>
      <c r="G131" s="34" t="s">
        <v>41</v>
      </c>
      <c r="H131" s="22"/>
      <c r="I131" s="22" t="s">
        <v>625</v>
      </c>
      <c r="J131" s="99"/>
      <c r="L131" s="76" t="s">
        <v>86</v>
      </c>
    </row>
    <row r="132" spans="1:12" ht="12.75">
      <c r="A132" s="4"/>
      <c r="B132" s="57" t="s">
        <v>626</v>
      </c>
      <c r="C132" s="35"/>
      <c r="D132" s="35"/>
      <c r="E132" s="35"/>
      <c r="F132" s="35"/>
      <c r="G132" s="34" t="s">
        <v>41</v>
      </c>
      <c r="H132" s="22"/>
      <c r="I132" s="22" t="s">
        <v>627</v>
      </c>
      <c r="J132" s="99"/>
      <c r="L132" s="76" t="s">
        <v>628</v>
      </c>
    </row>
    <row r="133" spans="2:10" ht="14.25" customHeight="1">
      <c r="B133" s="10"/>
      <c r="C133" s="10"/>
      <c r="D133" s="10"/>
      <c r="E133" s="10"/>
      <c r="F133" s="10"/>
      <c r="G133" s="10"/>
      <c r="H133" s="10"/>
      <c r="I133" s="29"/>
      <c r="J133" s="29"/>
    </row>
    <row r="134" spans="1:10" ht="12.75">
      <c r="A134" s="4"/>
      <c r="B134" s="30" t="s">
        <v>629</v>
      </c>
      <c r="C134" s="19" t="s">
        <v>28</v>
      </c>
      <c r="D134" s="19"/>
      <c r="E134" s="19"/>
      <c r="F134" s="19"/>
      <c r="G134" s="31" t="s">
        <v>29</v>
      </c>
      <c r="H134" s="31"/>
      <c r="I134" s="32"/>
      <c r="J134" s="13"/>
    </row>
    <row r="135" spans="1:10" ht="12.75">
      <c r="A135" s="4"/>
      <c r="B135" s="33" t="s">
        <v>32</v>
      </c>
      <c r="C135" s="23" t="s">
        <v>47</v>
      </c>
      <c r="D135" s="23" t="s">
        <v>33</v>
      </c>
      <c r="E135" s="23" t="s">
        <v>34</v>
      </c>
      <c r="F135" s="23" t="s">
        <v>35</v>
      </c>
      <c r="G135" s="33" t="s">
        <v>36</v>
      </c>
      <c r="H135" s="33" t="s">
        <v>37</v>
      </c>
      <c r="I135" s="33" t="s">
        <v>38</v>
      </c>
      <c r="J135" s="99" t="s">
        <v>39</v>
      </c>
    </row>
    <row r="136" spans="1:13" ht="12.75">
      <c r="A136" s="4"/>
      <c r="B136" s="57" t="s">
        <v>621</v>
      </c>
      <c r="C136" s="35"/>
      <c r="D136" s="35"/>
      <c r="E136" s="35"/>
      <c r="F136" s="35"/>
      <c r="G136" s="34" t="s">
        <v>41</v>
      </c>
      <c r="H136" s="22"/>
      <c r="I136" s="22" t="s">
        <v>622</v>
      </c>
      <c r="J136" s="99"/>
      <c r="L136" s="76" t="s">
        <v>630</v>
      </c>
      <c r="M136" s="76" t="s">
        <v>631</v>
      </c>
    </row>
    <row r="137" spans="1:12" ht="12.75">
      <c r="A137" s="4"/>
      <c r="B137" s="57" t="s">
        <v>624</v>
      </c>
      <c r="C137" s="35"/>
      <c r="D137" s="35"/>
      <c r="E137" s="35"/>
      <c r="F137" s="35"/>
      <c r="G137" s="34" t="s">
        <v>41</v>
      </c>
      <c r="H137" s="22"/>
      <c r="I137" s="22" t="s">
        <v>625</v>
      </c>
      <c r="J137" s="99"/>
      <c r="L137" s="76" t="s">
        <v>86</v>
      </c>
    </row>
    <row r="138" spans="1:13" ht="23.25">
      <c r="A138" s="4"/>
      <c r="B138" s="57" t="s">
        <v>626</v>
      </c>
      <c r="C138" s="35"/>
      <c r="D138" s="35"/>
      <c r="E138" s="35"/>
      <c r="F138" s="35"/>
      <c r="G138" s="34" t="s">
        <v>41</v>
      </c>
      <c r="H138" s="22"/>
      <c r="I138" s="22" t="s">
        <v>627</v>
      </c>
      <c r="J138" s="99"/>
      <c r="L138" s="76" t="s">
        <v>632</v>
      </c>
      <c r="M138" s="76" t="s">
        <v>633</v>
      </c>
    </row>
    <row r="139" spans="2:10" ht="14.25" customHeight="1">
      <c r="B139" s="10"/>
      <c r="C139" s="10"/>
      <c r="D139" s="10"/>
      <c r="E139" s="10"/>
      <c r="F139" s="10"/>
      <c r="G139" s="10"/>
      <c r="H139" s="10"/>
      <c r="I139" s="10"/>
      <c r="J139" s="10"/>
    </row>
    <row r="140" spans="1:10" ht="85.5" customHeight="1">
      <c r="A140" s="4"/>
      <c r="B140" s="30" t="s">
        <v>634</v>
      </c>
      <c r="C140" s="19" t="s">
        <v>28</v>
      </c>
      <c r="D140" s="19"/>
      <c r="E140" s="19"/>
      <c r="F140" s="19"/>
      <c r="G140" s="31" t="s">
        <v>29</v>
      </c>
      <c r="H140" s="31"/>
      <c r="I140" s="26" t="s">
        <v>561</v>
      </c>
      <c r="J140" s="102" t="s">
        <v>562</v>
      </c>
    </row>
    <row r="141" spans="1:10" ht="12.75">
      <c r="A141" s="4"/>
      <c r="B141" s="33" t="s">
        <v>32</v>
      </c>
      <c r="C141" s="23"/>
      <c r="D141" s="23" t="s">
        <v>33</v>
      </c>
      <c r="E141" s="23" t="s">
        <v>34</v>
      </c>
      <c r="F141" s="23" t="s">
        <v>35</v>
      </c>
      <c r="G141" s="33" t="s">
        <v>36</v>
      </c>
      <c r="H141" s="33" t="s">
        <v>37</v>
      </c>
      <c r="I141" s="33" t="s">
        <v>38</v>
      </c>
      <c r="J141" s="99" t="s">
        <v>39</v>
      </c>
    </row>
    <row r="142" spans="1:12" ht="13.5">
      <c r="A142" s="4"/>
      <c r="B142" s="57" t="s">
        <v>586</v>
      </c>
      <c r="C142" s="35"/>
      <c r="D142" s="35"/>
      <c r="E142" s="35"/>
      <c r="F142" s="35"/>
      <c r="G142" s="34" t="s">
        <v>41</v>
      </c>
      <c r="H142" s="22"/>
      <c r="I142" s="22" t="s">
        <v>115</v>
      </c>
      <c r="J142" s="99"/>
      <c r="L142" s="76" t="s">
        <v>635</v>
      </c>
    </row>
    <row r="143" spans="1:12" ht="165.75">
      <c r="A143" s="4"/>
      <c r="B143" s="57" t="s">
        <v>547</v>
      </c>
      <c r="C143" s="35"/>
      <c r="D143" s="35"/>
      <c r="E143" s="35"/>
      <c r="F143" s="35"/>
      <c r="G143" s="34" t="s">
        <v>41</v>
      </c>
      <c r="H143" s="22"/>
      <c r="I143" s="24" t="s">
        <v>548</v>
      </c>
      <c r="J143" s="109">
        <f>HYPERLINK("MessageRecord!subscriberID_MsgStoreOperations","subscriberID")</f>
        <v>0</v>
      </c>
      <c r="L143" s="76" t="s">
        <v>170</v>
      </c>
    </row>
    <row r="144" spans="1:12" ht="86.25" customHeight="1">
      <c r="A144" s="4"/>
      <c r="B144" s="57" t="s">
        <v>636</v>
      </c>
      <c r="C144" s="35"/>
      <c r="D144" s="35"/>
      <c r="E144" s="35"/>
      <c r="F144" s="35"/>
      <c r="G144" s="110">
        <f>HYPERLINK("MessageRecord!NOTE_1_MsgStoreOperation","NOTE 1")</f>
        <v>0</v>
      </c>
      <c r="H144" s="22"/>
      <c r="I144" s="18" t="s">
        <v>637</v>
      </c>
      <c r="J144" s="99"/>
      <c r="L144" s="76" t="s">
        <v>578</v>
      </c>
    </row>
    <row r="145" spans="1:12" ht="12.75">
      <c r="A145" s="4"/>
      <c r="B145" s="57" t="s">
        <v>638</v>
      </c>
      <c r="C145" s="35"/>
      <c r="D145" s="35"/>
      <c r="E145" s="35"/>
      <c r="F145" s="35"/>
      <c r="G145" s="34" t="s">
        <v>41</v>
      </c>
      <c r="H145" s="22"/>
      <c r="I145" s="59">
        <f>HYPERLINK("MessageRecord!operation","operation")</f>
        <v>0</v>
      </c>
      <c r="J145" s="99"/>
      <c r="L145" s="76" t="s">
        <v>639</v>
      </c>
    </row>
    <row r="146" spans="1:12" ht="13.5">
      <c r="A146" s="4"/>
      <c r="B146" s="57" t="s">
        <v>640</v>
      </c>
      <c r="C146" s="35"/>
      <c r="D146" s="35"/>
      <c r="E146" s="35"/>
      <c r="F146" s="35"/>
      <c r="G146" s="34" t="s">
        <v>41</v>
      </c>
      <c r="H146" s="22"/>
      <c r="I146" s="22" t="s">
        <v>589</v>
      </c>
      <c r="J146" s="99"/>
      <c r="L146" s="76" t="s">
        <v>77</v>
      </c>
    </row>
    <row r="147" spans="1:12" ht="13.5">
      <c r="A147" s="4"/>
      <c r="B147" s="57" t="s">
        <v>641</v>
      </c>
      <c r="C147" s="35"/>
      <c r="D147" s="35"/>
      <c r="E147" s="35"/>
      <c r="F147" s="35"/>
      <c r="G147" s="34" t="s">
        <v>41</v>
      </c>
      <c r="H147" s="22"/>
      <c r="I147" s="22" t="s">
        <v>591</v>
      </c>
      <c r="J147" s="99"/>
      <c r="L147" s="76" t="s">
        <v>592</v>
      </c>
    </row>
    <row r="148" spans="1:12" ht="12.75">
      <c r="A148" s="4"/>
      <c r="B148" s="57" t="s">
        <v>597</v>
      </c>
      <c r="C148" s="35"/>
      <c r="D148" s="35"/>
      <c r="E148" s="35"/>
      <c r="F148" s="35"/>
      <c r="G148" s="34" t="s">
        <v>41</v>
      </c>
      <c r="H148" s="22"/>
      <c r="I148" s="59">
        <f>HYPERLINK("MessageRecord!protocol_MsgStoreOperation","protocol")</f>
        <v>0</v>
      </c>
      <c r="J148" s="99"/>
      <c r="L148" s="76" t="s">
        <v>598</v>
      </c>
    </row>
    <row r="149" spans="1:12" ht="12.75">
      <c r="A149" s="4"/>
      <c r="B149" s="57" t="s">
        <v>599</v>
      </c>
      <c r="C149" s="35"/>
      <c r="D149" s="35"/>
      <c r="E149" s="35"/>
      <c r="F149" s="35"/>
      <c r="G149" s="34" t="s">
        <v>41</v>
      </c>
      <c r="H149" s="22"/>
      <c r="I149" s="59">
        <f>HYPERLINK("MessageRecord!IPAddress_clientID_MsgStoreOperation","IPAddress")</f>
        <v>0</v>
      </c>
      <c r="J149" s="99"/>
      <c r="L149" s="76" t="s">
        <v>600</v>
      </c>
    </row>
    <row r="150" spans="1:12" ht="12.75">
      <c r="A150" s="4"/>
      <c r="B150" s="57" t="s">
        <v>601</v>
      </c>
      <c r="C150" s="35"/>
      <c r="D150" s="35"/>
      <c r="E150" s="35"/>
      <c r="F150" s="35"/>
      <c r="G150" s="34" t="s">
        <v>41</v>
      </c>
      <c r="H150" s="22"/>
      <c r="I150" s="59">
        <f>HYPERLINK("MessageRecord!IPAddress_serverID_MsgStoreOperation","IPAddress")</f>
        <v>0</v>
      </c>
      <c r="J150" s="99"/>
      <c r="L150" s="76" t="s">
        <v>600</v>
      </c>
    </row>
    <row r="151" spans="1:12" ht="147" customHeight="1">
      <c r="A151" s="4"/>
      <c r="B151" s="57" t="s">
        <v>602</v>
      </c>
      <c r="C151" s="35"/>
      <c r="D151" s="35"/>
      <c r="E151" s="35"/>
      <c r="F151" s="35"/>
      <c r="G151" s="110">
        <f>HYPERLINK("MessageRecord!NOTE_1_MsgStoreOperation","NOTE 1")</f>
        <v>0</v>
      </c>
      <c r="H151" s="22"/>
      <c r="I151" s="24" t="s">
        <v>603</v>
      </c>
      <c r="J151" s="99"/>
      <c r="L151" s="76" t="s">
        <v>642</v>
      </c>
    </row>
    <row r="152" spans="2:10" ht="14.25" customHeight="1">
      <c r="B152" s="10"/>
      <c r="C152" s="10"/>
      <c r="D152" s="10"/>
      <c r="E152" s="10"/>
      <c r="F152" s="10"/>
      <c r="G152" s="10"/>
      <c r="H152" s="10"/>
      <c r="I152" s="10"/>
      <c r="J152" s="10"/>
    </row>
    <row r="153" spans="1:11" ht="90.75" customHeight="1">
      <c r="A153" s="4"/>
      <c r="B153" s="36" t="s">
        <v>643</v>
      </c>
      <c r="C153" s="36"/>
      <c r="D153" s="36"/>
      <c r="E153" s="36"/>
      <c r="F153" s="36"/>
      <c r="G153" s="37" t="s">
        <v>52</v>
      </c>
      <c r="H153" s="37"/>
      <c r="I153" s="37"/>
      <c r="J153" s="37"/>
      <c r="K153" s="8"/>
    </row>
    <row r="154" spans="1:12" ht="26.25" customHeight="1">
      <c r="A154" s="4"/>
      <c r="B154" s="38" t="s">
        <v>557</v>
      </c>
      <c r="C154" s="38"/>
      <c r="D154" s="38"/>
      <c r="E154" s="38"/>
      <c r="F154" s="38"/>
      <c r="G154" s="25"/>
      <c r="H154" s="25"/>
      <c r="I154" s="25"/>
      <c r="J154" s="25"/>
      <c r="K154" s="8"/>
      <c r="L154" s="76" t="s">
        <v>558</v>
      </c>
    </row>
    <row r="155" spans="2:10" ht="14.25" customHeight="1">
      <c r="B155" s="10"/>
      <c r="C155" s="10"/>
      <c r="D155" s="10"/>
      <c r="E155" s="10"/>
      <c r="F155" s="10"/>
      <c r="G155" s="10"/>
      <c r="H155" s="10"/>
      <c r="I155" s="29"/>
      <c r="J155" s="29"/>
    </row>
    <row r="156" spans="1:10" ht="12.75">
      <c r="A156" s="4"/>
      <c r="B156" s="30" t="s">
        <v>644</v>
      </c>
      <c r="C156" s="19" t="s">
        <v>28</v>
      </c>
      <c r="D156" s="19"/>
      <c r="E156" s="19"/>
      <c r="F156" s="19"/>
      <c r="G156" s="31" t="s">
        <v>29</v>
      </c>
      <c r="H156" s="31"/>
      <c r="I156" s="32"/>
      <c r="J156" s="13"/>
    </row>
    <row r="157" spans="1:10" ht="13.5">
      <c r="A157" s="4"/>
      <c r="B157" s="33" t="s">
        <v>32</v>
      </c>
      <c r="C157" s="23"/>
      <c r="D157" s="23" t="s">
        <v>33</v>
      </c>
      <c r="E157" s="23" t="s">
        <v>34</v>
      </c>
      <c r="F157" s="23" t="s">
        <v>35</v>
      </c>
      <c r="G157" s="33" t="s">
        <v>36</v>
      </c>
      <c r="H157" s="33" t="s">
        <v>37</v>
      </c>
      <c r="I157" s="111" t="s">
        <v>38</v>
      </c>
      <c r="J157" s="101" t="s">
        <v>39</v>
      </c>
    </row>
    <row r="158" spans="1:10" ht="27" customHeight="1">
      <c r="A158" s="4"/>
      <c r="B158" s="112" t="s">
        <v>645</v>
      </c>
      <c r="C158" s="37"/>
      <c r="D158" s="37"/>
      <c r="E158" s="37"/>
      <c r="F158" s="37"/>
      <c r="G158" s="18" t="s">
        <v>41</v>
      </c>
      <c r="H158" s="113"/>
      <c r="I158" s="18" t="s">
        <v>646</v>
      </c>
      <c r="J158" s="101"/>
    </row>
    <row r="159" spans="1:10" ht="12.75">
      <c r="A159" s="4"/>
      <c r="B159" s="112" t="s">
        <v>647</v>
      </c>
      <c r="C159" s="37"/>
      <c r="D159" s="37"/>
      <c r="E159" s="37"/>
      <c r="F159" s="37"/>
      <c r="G159" s="18" t="s">
        <v>41</v>
      </c>
      <c r="H159" s="113"/>
      <c r="I159" s="24"/>
      <c r="J159" s="101"/>
    </row>
    <row r="160" spans="1:10" ht="27" customHeight="1">
      <c r="A160" s="4"/>
      <c r="B160" s="112" t="s">
        <v>648</v>
      </c>
      <c r="C160" s="37"/>
      <c r="D160" s="37"/>
      <c r="E160" s="37"/>
      <c r="F160" s="37"/>
      <c r="G160" s="18" t="s">
        <v>41</v>
      </c>
      <c r="H160" s="113"/>
      <c r="I160" s="18" t="s">
        <v>649</v>
      </c>
      <c r="J160" s="101"/>
    </row>
    <row r="161" spans="1:10" ht="12.75">
      <c r="A161" s="4"/>
      <c r="B161" s="112" t="s">
        <v>650</v>
      </c>
      <c r="C161" s="37"/>
      <c r="D161" s="37"/>
      <c r="E161" s="37"/>
      <c r="F161" s="37"/>
      <c r="G161" s="18" t="s">
        <v>41</v>
      </c>
      <c r="H161" s="113"/>
      <c r="I161" s="18" t="s">
        <v>651</v>
      </c>
      <c r="J161" s="101"/>
    </row>
    <row r="162" spans="1:10" ht="12.75">
      <c r="A162" s="4"/>
      <c r="B162" s="112" t="s">
        <v>652</v>
      </c>
      <c r="C162" s="37"/>
      <c r="D162" s="37"/>
      <c r="E162" s="37"/>
      <c r="F162" s="37"/>
      <c r="G162" s="18" t="s">
        <v>41</v>
      </c>
      <c r="H162" s="113"/>
      <c r="I162" s="24"/>
      <c r="J162" s="101"/>
    </row>
    <row r="163" spans="1:12" ht="12.75">
      <c r="A163" s="4"/>
      <c r="B163" s="112" t="s">
        <v>653</v>
      </c>
      <c r="C163" s="37"/>
      <c r="D163" s="37"/>
      <c r="E163" s="37"/>
      <c r="F163" s="37"/>
      <c r="G163" s="18" t="s">
        <v>41</v>
      </c>
      <c r="H163" s="113"/>
      <c r="I163" s="18" t="s">
        <v>654</v>
      </c>
      <c r="J163" s="101"/>
      <c r="L163" s="76" t="s">
        <v>655</v>
      </c>
    </row>
    <row r="164" spans="1:10" ht="12.75">
      <c r="A164" s="4"/>
      <c r="B164" s="112" t="s">
        <v>656</v>
      </c>
      <c r="C164" s="37"/>
      <c r="D164" s="37"/>
      <c r="E164" s="37"/>
      <c r="F164" s="37"/>
      <c r="G164" s="18" t="s">
        <v>41</v>
      </c>
      <c r="H164" s="113"/>
      <c r="I164" s="24"/>
      <c r="J164" s="101"/>
    </row>
    <row r="165" spans="2:10" ht="14.25" customHeight="1">
      <c r="B165" s="10"/>
      <c r="C165" s="10"/>
      <c r="D165" s="10"/>
      <c r="E165" s="10"/>
      <c r="F165" s="10"/>
      <c r="G165" s="10"/>
      <c r="H165" s="10"/>
      <c r="I165" s="29"/>
      <c r="J165" s="29"/>
    </row>
    <row r="166" spans="1:10" ht="12.75">
      <c r="A166" s="4"/>
      <c r="B166" s="30" t="s">
        <v>616</v>
      </c>
      <c r="C166" s="19" t="s">
        <v>28</v>
      </c>
      <c r="D166" s="19"/>
      <c r="E166" s="19"/>
      <c r="F166" s="19"/>
      <c r="G166" s="31" t="s">
        <v>29</v>
      </c>
      <c r="H166" s="31"/>
      <c r="I166" s="32"/>
      <c r="J166" s="13"/>
    </row>
    <row r="167" spans="1:10" ht="13.5">
      <c r="A167" s="4"/>
      <c r="B167" s="33" t="s">
        <v>32</v>
      </c>
      <c r="C167" s="23"/>
      <c r="D167" s="23" t="s">
        <v>33</v>
      </c>
      <c r="E167" s="23" t="s">
        <v>34</v>
      </c>
      <c r="F167" s="23" t="s">
        <v>35</v>
      </c>
      <c r="G167" s="33" t="s">
        <v>36</v>
      </c>
      <c r="H167" s="33" t="s">
        <v>37</v>
      </c>
      <c r="I167" s="111" t="s">
        <v>38</v>
      </c>
      <c r="J167" s="101" t="s">
        <v>39</v>
      </c>
    </row>
    <row r="168" spans="1:10" ht="12.75">
      <c r="A168" s="4"/>
      <c r="B168" s="112" t="s">
        <v>657</v>
      </c>
      <c r="C168" s="37"/>
      <c r="D168" s="37"/>
      <c r="E168" s="37"/>
      <c r="F168" s="37"/>
      <c r="G168" s="18" t="s">
        <v>41</v>
      </c>
      <c r="H168" s="113"/>
      <c r="I168" s="18"/>
      <c r="J168" s="101"/>
    </row>
    <row r="169" spans="1:10" ht="12.75">
      <c r="A169" s="4"/>
      <c r="B169" s="112" t="s">
        <v>658</v>
      </c>
      <c r="C169" s="37"/>
      <c r="D169" s="37"/>
      <c r="E169" s="37"/>
      <c r="F169" s="37"/>
      <c r="G169" s="18" t="s">
        <v>41</v>
      </c>
      <c r="H169" s="113"/>
      <c r="I169" s="24"/>
      <c r="J169" s="101"/>
    </row>
    <row r="170" spans="1:12" ht="12.75">
      <c r="A170" s="4"/>
      <c r="B170" s="112" t="s">
        <v>659</v>
      </c>
      <c r="C170" s="37"/>
      <c r="D170" s="37"/>
      <c r="E170" s="37"/>
      <c r="F170" s="37"/>
      <c r="G170" s="18" t="s">
        <v>41</v>
      </c>
      <c r="H170" s="113"/>
      <c r="I170" s="18"/>
      <c r="J170" s="101"/>
      <c r="L170" s="76" t="s">
        <v>660</v>
      </c>
    </row>
    <row r="171" spans="2:10" ht="14.25" customHeight="1">
      <c r="B171" s="10"/>
      <c r="C171" s="10"/>
      <c r="D171" s="10"/>
      <c r="E171" s="10"/>
      <c r="F171" s="10"/>
      <c r="G171" s="10"/>
      <c r="H171" s="10"/>
      <c r="I171" s="29"/>
      <c r="J171" s="29"/>
    </row>
    <row r="172" spans="1:10" ht="12.75">
      <c r="A172" s="4"/>
      <c r="B172" s="30" t="s">
        <v>620</v>
      </c>
      <c r="C172" s="19" t="s">
        <v>28</v>
      </c>
      <c r="D172" s="19"/>
      <c r="E172" s="19"/>
      <c r="F172" s="19"/>
      <c r="G172" s="31" t="s">
        <v>29</v>
      </c>
      <c r="H172" s="31"/>
      <c r="I172" s="32"/>
      <c r="J172" s="13"/>
    </row>
    <row r="173" spans="1:10" ht="12.75">
      <c r="A173" s="4"/>
      <c r="B173" s="33" t="s">
        <v>32</v>
      </c>
      <c r="C173" s="23"/>
      <c r="D173" s="23" t="s">
        <v>33</v>
      </c>
      <c r="E173" s="23" t="s">
        <v>34</v>
      </c>
      <c r="F173" s="23" t="s">
        <v>35</v>
      </c>
      <c r="G173" s="33" t="s">
        <v>36</v>
      </c>
      <c r="H173" s="33" t="s">
        <v>37</v>
      </c>
      <c r="I173" s="33" t="s">
        <v>38</v>
      </c>
      <c r="J173" s="99" t="s">
        <v>39</v>
      </c>
    </row>
    <row r="174" spans="1:13" ht="12.75">
      <c r="A174" s="4"/>
      <c r="B174" s="57" t="s">
        <v>621</v>
      </c>
      <c r="C174" s="35"/>
      <c r="D174" s="35"/>
      <c r="E174" s="35"/>
      <c r="F174" s="35"/>
      <c r="G174" s="34" t="s">
        <v>41</v>
      </c>
      <c r="H174" s="22"/>
      <c r="I174" s="22" t="s">
        <v>622</v>
      </c>
      <c r="J174" s="99"/>
      <c r="L174" s="76" t="s">
        <v>661</v>
      </c>
      <c r="M174" s="76" t="s">
        <v>631</v>
      </c>
    </row>
    <row r="175" spans="1:12" ht="12.75">
      <c r="A175" s="4"/>
      <c r="B175" s="57" t="s">
        <v>624</v>
      </c>
      <c r="C175" s="35"/>
      <c r="D175" s="35"/>
      <c r="E175" s="35"/>
      <c r="F175" s="35"/>
      <c r="G175" s="34" t="s">
        <v>41</v>
      </c>
      <c r="H175" s="22"/>
      <c r="I175" s="22" t="s">
        <v>625</v>
      </c>
      <c r="J175" s="99"/>
      <c r="L175" s="76" t="s">
        <v>86</v>
      </c>
    </row>
    <row r="176" spans="1:12" ht="12.75">
      <c r="A176" s="4"/>
      <c r="B176" s="57" t="s">
        <v>626</v>
      </c>
      <c r="C176" s="35"/>
      <c r="D176" s="35"/>
      <c r="E176" s="35"/>
      <c r="F176" s="35"/>
      <c r="G176" s="34" t="s">
        <v>41</v>
      </c>
      <c r="H176" s="22"/>
      <c r="I176" s="22" t="s">
        <v>627</v>
      </c>
      <c r="J176" s="99"/>
      <c r="L176" s="76" t="s">
        <v>662</v>
      </c>
    </row>
    <row r="177" spans="2:10" ht="14.25" customHeight="1">
      <c r="B177" s="10"/>
      <c r="C177" s="10"/>
      <c r="D177" s="10"/>
      <c r="E177" s="10"/>
      <c r="F177" s="10"/>
      <c r="G177" s="10"/>
      <c r="H177" s="10"/>
      <c r="I177" s="29"/>
      <c r="J177" s="29"/>
    </row>
    <row r="178" spans="1:10" ht="12.75">
      <c r="A178" s="4"/>
      <c r="B178" s="30" t="s">
        <v>629</v>
      </c>
      <c r="C178" s="19" t="s">
        <v>28</v>
      </c>
      <c r="D178" s="19"/>
      <c r="E178" s="19"/>
      <c r="F178" s="19"/>
      <c r="G178" s="31" t="s">
        <v>29</v>
      </c>
      <c r="H178" s="31"/>
      <c r="I178" s="32"/>
      <c r="J178" s="13"/>
    </row>
    <row r="179" spans="1:10" ht="12.75">
      <c r="A179" s="4"/>
      <c r="B179" s="33" t="s">
        <v>32</v>
      </c>
      <c r="C179" s="23" t="s">
        <v>47</v>
      </c>
      <c r="D179" s="23" t="s">
        <v>33</v>
      </c>
      <c r="E179" s="23" t="s">
        <v>34</v>
      </c>
      <c r="F179" s="23" t="s">
        <v>35</v>
      </c>
      <c r="G179" s="33" t="s">
        <v>36</v>
      </c>
      <c r="H179" s="33" t="s">
        <v>37</v>
      </c>
      <c r="I179" s="33" t="s">
        <v>38</v>
      </c>
      <c r="J179" s="99" t="s">
        <v>39</v>
      </c>
    </row>
    <row r="180" spans="1:13" ht="12.75">
      <c r="A180" s="4"/>
      <c r="B180" s="57" t="s">
        <v>621</v>
      </c>
      <c r="C180" s="35"/>
      <c r="D180" s="35"/>
      <c r="E180" s="35"/>
      <c r="F180" s="35"/>
      <c r="G180" s="34" t="s">
        <v>41</v>
      </c>
      <c r="H180" s="22"/>
      <c r="I180" s="22" t="s">
        <v>622</v>
      </c>
      <c r="J180" s="99"/>
      <c r="L180" s="76" t="s">
        <v>663</v>
      </c>
      <c r="M180" s="76" t="s">
        <v>631</v>
      </c>
    </row>
    <row r="181" spans="1:12" ht="12.75">
      <c r="A181" s="4"/>
      <c r="B181" s="57" t="s">
        <v>624</v>
      </c>
      <c r="C181" s="35"/>
      <c r="D181" s="35"/>
      <c r="E181" s="35"/>
      <c r="F181" s="35"/>
      <c r="G181" s="34" t="s">
        <v>41</v>
      </c>
      <c r="H181" s="22"/>
      <c r="I181" s="22" t="s">
        <v>625</v>
      </c>
      <c r="J181" s="99"/>
      <c r="L181" s="76" t="s">
        <v>86</v>
      </c>
    </row>
    <row r="182" spans="1:12" ht="12.75">
      <c r="A182" s="4"/>
      <c r="B182" s="57" t="s">
        <v>626</v>
      </c>
      <c r="C182" s="35"/>
      <c r="D182" s="35"/>
      <c r="E182" s="35"/>
      <c r="F182" s="35"/>
      <c r="G182" s="34" t="s">
        <v>41</v>
      </c>
      <c r="H182" s="22"/>
      <c r="I182" s="22" t="s">
        <v>627</v>
      </c>
      <c r="J182" s="99"/>
      <c r="L182" s="76" t="s">
        <v>664</v>
      </c>
    </row>
    <row r="183" spans="2:10" ht="14.25" customHeight="1">
      <c r="B183" s="29"/>
      <c r="C183" s="29"/>
      <c r="D183" s="29"/>
      <c r="E183" s="29"/>
      <c r="F183" s="29"/>
      <c r="G183" s="29"/>
      <c r="H183" s="29"/>
      <c r="I183" s="29"/>
      <c r="J183" s="29"/>
    </row>
    <row r="184" spans="1:10" ht="12.75">
      <c r="A184" s="50" t="s">
        <v>665</v>
      </c>
      <c r="B184" s="50"/>
      <c r="C184" s="51"/>
      <c r="D184" s="51"/>
      <c r="E184" s="51"/>
      <c r="F184" s="51"/>
      <c r="G184" s="51"/>
      <c r="H184" s="51"/>
      <c r="I184" s="51"/>
      <c r="J184" s="51"/>
    </row>
    <row r="185" spans="2:8" ht="14.25" customHeight="1">
      <c r="B185" s="3"/>
      <c r="C185" s="3"/>
      <c r="D185" s="3"/>
      <c r="E185" s="3"/>
      <c r="F185" s="3"/>
      <c r="G185" s="3"/>
      <c r="H185" s="3"/>
    </row>
    <row r="186" spans="1:10" ht="12.75">
      <c r="A186" s="4"/>
      <c r="B186" s="30" t="s">
        <v>666</v>
      </c>
      <c r="C186" s="19" t="s">
        <v>28</v>
      </c>
      <c r="D186" s="19"/>
      <c r="E186" s="19"/>
      <c r="F186" s="19"/>
      <c r="G186" s="31" t="s">
        <v>29</v>
      </c>
      <c r="H186" s="31"/>
      <c r="I186" s="32"/>
      <c r="J186" s="13"/>
    </row>
    <row r="187" spans="1:10" ht="12.75">
      <c r="A187" s="4"/>
      <c r="B187" s="33" t="s">
        <v>32</v>
      </c>
      <c r="C187" s="23"/>
      <c r="D187" s="23" t="s">
        <v>33</v>
      </c>
      <c r="E187" s="23" t="s">
        <v>34</v>
      </c>
      <c r="F187" s="23" t="s">
        <v>35</v>
      </c>
      <c r="G187" s="33" t="s">
        <v>36</v>
      </c>
      <c r="H187" s="33" t="s">
        <v>37</v>
      </c>
      <c r="I187" s="33" t="s">
        <v>38</v>
      </c>
      <c r="J187" s="114" t="s">
        <v>39</v>
      </c>
    </row>
    <row r="188" spans="1:12" ht="140.25" customHeight="1">
      <c r="A188" s="4"/>
      <c r="B188" s="57" t="s">
        <v>168</v>
      </c>
      <c r="C188" s="25"/>
      <c r="D188" s="25"/>
      <c r="E188" s="25"/>
      <c r="F188" s="25"/>
      <c r="G188" s="24" t="s">
        <v>41</v>
      </c>
      <c r="H188" s="24"/>
      <c r="I188" s="18" t="s">
        <v>667</v>
      </c>
      <c r="J188" s="115">
        <f>HYPERLINK("MessageRecord!subscriberID_MsgBillingDetails","subscriberID")</f>
        <v>0</v>
      </c>
      <c r="L188" s="76" t="s">
        <v>170</v>
      </c>
    </row>
    <row r="189" spans="1:12" ht="90.75" customHeight="1">
      <c r="A189" s="4"/>
      <c r="B189" s="57" t="s">
        <v>277</v>
      </c>
      <c r="C189" s="25"/>
      <c r="D189" s="25"/>
      <c r="E189" s="25"/>
      <c r="F189" s="25"/>
      <c r="G189" s="24" t="s">
        <v>41</v>
      </c>
      <c r="H189" s="24"/>
      <c r="I189" s="24" t="s">
        <v>668</v>
      </c>
      <c r="J189" s="115">
        <f>HYPERLINK("MessageRecord!serviceID_msgBillingDetail","serviceID")</f>
        <v>0</v>
      </c>
      <c r="L189" s="76" t="s">
        <v>185</v>
      </c>
    </row>
    <row r="190" spans="1:12" ht="13.5">
      <c r="A190" s="4"/>
      <c r="B190" s="57" t="s">
        <v>252</v>
      </c>
      <c r="C190" s="25"/>
      <c r="D190" s="25"/>
      <c r="E190" s="25"/>
      <c r="F190" s="25"/>
      <c r="G190" s="24" t="s">
        <v>41</v>
      </c>
      <c r="H190" s="24"/>
      <c r="I190" s="27">
        <f>HYPERLINK("MessageRecord!ContactDetails_MsgBillingDetails","ContactDetails")</f>
        <v>0</v>
      </c>
      <c r="J190" s="101"/>
      <c r="L190" s="76" t="s">
        <v>113</v>
      </c>
    </row>
    <row r="191" spans="1:12" ht="62.25" customHeight="1">
      <c r="A191" s="4"/>
      <c r="B191" s="57" t="s">
        <v>278</v>
      </c>
      <c r="C191" s="25"/>
      <c r="D191" s="25"/>
      <c r="E191" s="25"/>
      <c r="F191" s="25"/>
      <c r="G191" s="24" t="s">
        <v>41</v>
      </c>
      <c r="H191" s="24"/>
      <c r="I191" s="24" t="s">
        <v>669</v>
      </c>
      <c r="J191" s="115">
        <f>HYPERLINK("MessageRecord!billingIdentifier_MsgBillingDetails","billingIdentifier")</f>
        <v>0</v>
      </c>
      <c r="L191" s="76" t="s">
        <v>670</v>
      </c>
    </row>
    <row r="192" spans="1:12" ht="13.5">
      <c r="A192" s="4"/>
      <c r="B192" s="57" t="s">
        <v>280</v>
      </c>
      <c r="C192" s="25"/>
      <c r="D192" s="25"/>
      <c r="E192" s="25"/>
      <c r="F192" s="25"/>
      <c r="G192" s="24" t="s">
        <v>41</v>
      </c>
      <c r="H192" s="24"/>
      <c r="I192" s="27">
        <f>HYPERLINK("MessageRecord!BillingRecords_MsgBillingDetails","BillingRecords")</f>
        <v>0</v>
      </c>
      <c r="J192" s="101"/>
      <c r="L192" s="76" t="s">
        <v>671</v>
      </c>
    </row>
    <row r="193" spans="1:10" ht="13.5">
      <c r="A193" s="4"/>
      <c r="B193" s="67" t="s">
        <v>672</v>
      </c>
      <c r="C193" s="26"/>
      <c r="D193" s="26"/>
      <c r="E193" s="26"/>
      <c r="F193" s="26"/>
      <c r="G193" s="26"/>
      <c r="H193" s="26" t="s">
        <v>43</v>
      </c>
      <c r="I193" s="26"/>
      <c r="J193" s="102"/>
    </row>
    <row r="194" spans="2:10" ht="14.25" customHeight="1">
      <c r="B194" s="10"/>
      <c r="C194" s="10"/>
      <c r="D194" s="10"/>
      <c r="E194" s="10"/>
      <c r="F194" s="10"/>
      <c r="G194" s="10"/>
      <c r="H194" s="10"/>
      <c r="I194" s="10"/>
      <c r="J194" s="10"/>
    </row>
    <row r="195" spans="1:11" ht="68.25" customHeight="1">
      <c r="A195" s="4"/>
      <c r="B195" s="36" t="s">
        <v>673</v>
      </c>
      <c r="C195" s="36"/>
      <c r="D195" s="36"/>
      <c r="E195" s="36"/>
      <c r="F195" s="36"/>
      <c r="G195" s="37" t="s">
        <v>52</v>
      </c>
      <c r="H195" s="37"/>
      <c r="I195" s="37"/>
      <c r="J195" s="37"/>
      <c r="K195" s="8"/>
    </row>
    <row r="196" spans="1:12" ht="26.25" customHeight="1">
      <c r="A196" s="4"/>
      <c r="B196" s="38" t="s">
        <v>674</v>
      </c>
      <c r="C196" s="38"/>
      <c r="D196" s="38"/>
      <c r="E196" s="38"/>
      <c r="F196" s="38"/>
      <c r="G196" s="25"/>
      <c r="H196" s="25"/>
      <c r="I196" s="25"/>
      <c r="J196" s="25"/>
      <c r="K196" s="8"/>
      <c r="L196" s="76" t="s">
        <v>558</v>
      </c>
    </row>
    <row r="197" spans="2:10" ht="14.25" customHeight="1">
      <c r="B197" s="10"/>
      <c r="C197" s="10"/>
      <c r="D197" s="10"/>
      <c r="E197" s="10"/>
      <c r="F197" s="10"/>
      <c r="G197" s="10"/>
      <c r="H197" s="10"/>
      <c r="I197" s="10"/>
      <c r="J197" s="10"/>
    </row>
    <row r="198" spans="1:11" ht="90.75" customHeight="1">
      <c r="A198" s="4"/>
      <c r="B198" s="36" t="s">
        <v>675</v>
      </c>
      <c r="C198" s="36"/>
      <c r="D198" s="36"/>
      <c r="E198" s="36"/>
      <c r="F198" s="36"/>
      <c r="G198" s="37" t="s">
        <v>52</v>
      </c>
      <c r="H198" s="37"/>
      <c r="I198" s="37"/>
      <c r="J198" s="37"/>
      <c r="K198" s="8"/>
    </row>
    <row r="199" spans="1:13" ht="23.25" customHeight="1">
      <c r="A199" s="4"/>
      <c r="B199" s="38" t="s">
        <v>277</v>
      </c>
      <c r="C199" s="38"/>
      <c r="D199" s="38"/>
      <c r="E199" s="38"/>
      <c r="F199" s="38"/>
      <c r="G199" s="25"/>
      <c r="H199" s="25"/>
      <c r="I199" s="25"/>
      <c r="J199" s="25"/>
      <c r="K199" s="8"/>
      <c r="L199" s="76" t="s">
        <v>676</v>
      </c>
      <c r="M199" s="76" t="s">
        <v>227</v>
      </c>
    </row>
    <row r="200" spans="2:10" ht="12.75">
      <c r="B200" s="78"/>
      <c r="C200" s="78"/>
      <c r="D200" s="78"/>
      <c r="E200" s="78"/>
      <c r="F200" s="78"/>
      <c r="G200" s="54"/>
      <c r="H200" s="54"/>
      <c r="I200" s="54"/>
      <c r="J200" s="54"/>
    </row>
    <row r="201" spans="1:11" ht="90.75" customHeight="1">
      <c r="A201" s="4"/>
      <c r="B201" s="36" t="s">
        <v>677</v>
      </c>
      <c r="C201" s="36"/>
      <c r="D201" s="36"/>
      <c r="E201" s="36"/>
      <c r="F201" s="36"/>
      <c r="G201" s="37" t="s">
        <v>52</v>
      </c>
      <c r="H201" s="37"/>
      <c r="I201" s="37"/>
      <c r="J201" s="37"/>
      <c r="K201" s="8"/>
    </row>
    <row r="202" spans="1:13" ht="68.25" customHeight="1">
      <c r="A202" s="4"/>
      <c r="B202" s="38" t="s">
        <v>678</v>
      </c>
      <c r="C202" s="38"/>
      <c r="D202" s="38"/>
      <c r="E202" s="38"/>
      <c r="F202" s="38"/>
      <c r="G202" s="25"/>
      <c r="H202" s="25"/>
      <c r="I202" s="25"/>
      <c r="J202" s="25"/>
      <c r="K202" s="8"/>
      <c r="L202" s="76" t="s">
        <v>86</v>
      </c>
      <c r="M202" s="76" t="s">
        <v>679</v>
      </c>
    </row>
    <row r="203" spans="2:13" ht="23.25">
      <c r="B203" s="10"/>
      <c r="C203" s="10"/>
      <c r="D203" s="10"/>
      <c r="E203" s="10"/>
      <c r="F203" s="10"/>
      <c r="G203" s="10"/>
      <c r="H203" s="10"/>
      <c r="I203" s="29"/>
      <c r="J203" s="29"/>
      <c r="L203" s="76" t="s">
        <v>216</v>
      </c>
      <c r="M203" s="76" t="s">
        <v>216</v>
      </c>
    </row>
    <row r="204" spans="1:10" ht="12.75">
      <c r="A204" s="4"/>
      <c r="B204" s="30" t="s">
        <v>680</v>
      </c>
      <c r="C204" s="19" t="s">
        <v>28</v>
      </c>
      <c r="D204" s="19"/>
      <c r="E204" s="19"/>
      <c r="F204" s="19"/>
      <c r="G204" s="31" t="s">
        <v>29</v>
      </c>
      <c r="H204" s="31"/>
      <c r="I204" s="32"/>
      <c r="J204" s="13"/>
    </row>
    <row r="205" spans="1:10" ht="12.75">
      <c r="A205" s="4"/>
      <c r="B205" s="104" t="s">
        <v>32</v>
      </c>
      <c r="C205" s="105"/>
      <c r="D205" s="105" t="s">
        <v>33</v>
      </c>
      <c r="E205" s="105" t="s">
        <v>34</v>
      </c>
      <c r="F205" s="105" t="s">
        <v>35</v>
      </c>
      <c r="G205" s="33" t="s">
        <v>36</v>
      </c>
      <c r="H205" s="33" t="s">
        <v>37</v>
      </c>
      <c r="I205" s="33" t="s">
        <v>38</v>
      </c>
      <c r="J205" s="99" t="s">
        <v>39</v>
      </c>
    </row>
    <row r="206" spans="1:12" ht="12.75">
      <c r="A206" s="4"/>
      <c r="B206" s="106" t="s">
        <v>74</v>
      </c>
      <c r="C206" s="107"/>
      <c r="D206" s="107"/>
      <c r="E206" s="107"/>
      <c r="F206" s="107"/>
      <c r="G206" s="22" t="s">
        <v>41</v>
      </c>
      <c r="H206" s="22"/>
      <c r="I206" s="59">
        <f>HYPERLINK("MessageRecord!AddressInformation_MsgBillingDetails","AddressInformation")</f>
        <v>0</v>
      </c>
      <c r="J206" s="99"/>
      <c r="L206" s="76" t="s">
        <v>419</v>
      </c>
    </row>
    <row r="207" spans="1:12" ht="12.75">
      <c r="A207" s="4"/>
      <c r="B207" s="57" t="s">
        <v>76</v>
      </c>
      <c r="C207" s="35"/>
      <c r="D207" s="35"/>
      <c r="E207" s="35"/>
      <c r="F207" s="35"/>
      <c r="G207" s="34" t="s">
        <v>41</v>
      </c>
      <c r="H207" s="22"/>
      <c r="I207" s="22"/>
      <c r="J207" s="99"/>
      <c r="L207" s="76" t="s">
        <v>578</v>
      </c>
    </row>
    <row r="208" spans="1:12" ht="30.75" customHeight="1">
      <c r="A208" s="4"/>
      <c r="B208" s="57" t="s">
        <v>78</v>
      </c>
      <c r="C208" s="35"/>
      <c r="D208" s="35"/>
      <c r="E208" s="35"/>
      <c r="F208" s="35"/>
      <c r="G208" s="34" t="s">
        <v>41</v>
      </c>
      <c r="H208" s="22"/>
      <c r="I208" s="24" t="s">
        <v>79</v>
      </c>
      <c r="J208" s="99"/>
      <c r="L208" s="48">
        <v>41712985849</v>
      </c>
    </row>
    <row r="209" spans="1:12" ht="26.25">
      <c r="A209" s="4"/>
      <c r="B209" s="57" t="s">
        <v>80</v>
      </c>
      <c r="C209" s="35"/>
      <c r="D209" s="35"/>
      <c r="E209" s="35"/>
      <c r="F209" s="35"/>
      <c r="G209" s="34" t="s">
        <v>41</v>
      </c>
      <c r="H209" s="22"/>
      <c r="I209" s="24" t="s">
        <v>81</v>
      </c>
      <c r="J209" s="99"/>
      <c r="L209" s="76" t="s">
        <v>86</v>
      </c>
    </row>
    <row r="210" spans="2:10" ht="14.25" customHeight="1">
      <c r="B210" s="10"/>
      <c r="C210" s="10"/>
      <c r="D210" s="10"/>
      <c r="E210" s="10"/>
      <c r="F210" s="10"/>
      <c r="G210" s="10"/>
      <c r="H210" s="10"/>
      <c r="I210" s="29"/>
      <c r="J210" s="29"/>
    </row>
    <row r="211" spans="1:10" ht="12.75">
      <c r="A211" s="4"/>
      <c r="B211" s="30" t="s">
        <v>83</v>
      </c>
      <c r="C211" s="19" t="s">
        <v>28</v>
      </c>
      <c r="D211" s="19"/>
      <c r="E211" s="19"/>
      <c r="F211" s="19"/>
      <c r="G211" s="31" t="s">
        <v>29</v>
      </c>
      <c r="H211" s="31"/>
      <c r="I211" s="32"/>
      <c r="J211" s="13"/>
    </row>
    <row r="212" spans="1:10" ht="12.75">
      <c r="A212" s="4"/>
      <c r="B212" s="33" t="s">
        <v>32</v>
      </c>
      <c r="C212" s="23"/>
      <c r="D212" s="23" t="s">
        <v>33</v>
      </c>
      <c r="E212" s="23" t="s">
        <v>34</v>
      </c>
      <c r="F212" s="23" t="s">
        <v>35</v>
      </c>
      <c r="G212" s="33" t="s">
        <v>36</v>
      </c>
      <c r="H212" s="33" t="s">
        <v>37</v>
      </c>
      <c r="I212" s="33" t="s">
        <v>38</v>
      </c>
      <c r="J212" s="99" t="s">
        <v>39</v>
      </c>
    </row>
    <row r="213" spans="1:12" ht="12.75">
      <c r="A213" s="4"/>
      <c r="B213" s="57" t="s">
        <v>84</v>
      </c>
      <c r="C213" s="35"/>
      <c r="D213" s="35"/>
      <c r="E213" s="35"/>
      <c r="F213" s="35"/>
      <c r="G213" s="34" t="s">
        <v>41</v>
      </c>
      <c r="H213" s="22"/>
      <c r="I213" s="22"/>
      <c r="J213" s="99"/>
      <c r="L213" s="48">
        <v>2</v>
      </c>
    </row>
    <row r="214" spans="1:12" ht="12.75">
      <c r="A214" s="4"/>
      <c r="B214" s="57" t="s">
        <v>85</v>
      </c>
      <c r="C214" s="35"/>
      <c r="D214" s="35"/>
      <c r="E214" s="35"/>
      <c r="F214" s="35"/>
      <c r="G214" s="34" t="s">
        <v>41</v>
      </c>
      <c r="H214" s="22"/>
      <c r="I214" s="22"/>
      <c r="J214" s="99"/>
      <c r="L214" s="48" t="s">
        <v>86</v>
      </c>
    </row>
    <row r="215" spans="1:12" ht="12.75">
      <c r="A215" s="4"/>
      <c r="B215" s="57" t="s">
        <v>87</v>
      </c>
      <c r="C215" s="35"/>
      <c r="D215" s="35"/>
      <c r="E215" s="35"/>
      <c r="F215" s="35"/>
      <c r="G215" s="34" t="s">
        <v>41</v>
      </c>
      <c r="H215" s="22"/>
      <c r="I215" s="22"/>
      <c r="J215" s="99"/>
      <c r="L215" s="48" t="s">
        <v>88</v>
      </c>
    </row>
    <row r="216" spans="1:12" ht="12.75">
      <c r="A216" s="4"/>
      <c r="B216" s="57" t="s">
        <v>89</v>
      </c>
      <c r="C216" s="35"/>
      <c r="D216" s="35"/>
      <c r="E216" s="35"/>
      <c r="F216" s="35"/>
      <c r="G216" s="34" t="s">
        <v>41</v>
      </c>
      <c r="H216" s="22"/>
      <c r="I216" s="22"/>
      <c r="J216" s="99"/>
      <c r="L216" s="48" t="s">
        <v>90</v>
      </c>
    </row>
    <row r="217" spans="1:12" ht="12.75">
      <c r="A217" s="4"/>
      <c r="B217" s="57" t="s">
        <v>91</v>
      </c>
      <c r="C217" s="35"/>
      <c r="D217" s="35"/>
      <c r="E217" s="35"/>
      <c r="F217" s="35"/>
      <c r="G217" s="34" t="s">
        <v>41</v>
      </c>
      <c r="H217" s="22"/>
      <c r="I217" s="22"/>
      <c r="J217" s="99"/>
      <c r="L217" s="48" t="s">
        <v>92</v>
      </c>
    </row>
    <row r="218" spans="1:12" ht="12.75">
      <c r="A218" s="4"/>
      <c r="B218" s="57" t="s">
        <v>93</v>
      </c>
      <c r="C218" s="35"/>
      <c r="D218" s="35"/>
      <c r="E218" s="35"/>
      <c r="F218" s="35"/>
      <c r="G218" s="34" t="s">
        <v>41</v>
      </c>
      <c r="H218" s="22"/>
      <c r="I218" s="22" t="s">
        <v>94</v>
      </c>
      <c r="J218" s="99"/>
      <c r="L218" s="48">
        <v>8045</v>
      </c>
    </row>
    <row r="219" spans="1:12" ht="12.75">
      <c r="A219" s="4"/>
      <c r="B219" s="67" t="s">
        <v>95</v>
      </c>
      <c r="C219" s="68"/>
      <c r="D219" s="68"/>
      <c r="E219" s="68"/>
      <c r="F219" s="68"/>
      <c r="G219" s="68" t="s">
        <v>43</v>
      </c>
      <c r="H219" s="7" t="s">
        <v>43</v>
      </c>
      <c r="I219" s="7"/>
      <c r="J219" s="108"/>
      <c r="L219" s="48"/>
    </row>
    <row r="220" spans="1:12" ht="27" customHeight="1">
      <c r="A220" s="4"/>
      <c r="B220" s="57" t="s">
        <v>96</v>
      </c>
      <c r="C220" s="34"/>
      <c r="D220" s="35"/>
      <c r="E220" s="35"/>
      <c r="F220" s="35"/>
      <c r="G220" s="34" t="s">
        <v>41</v>
      </c>
      <c r="H220" s="22"/>
      <c r="I220" s="18" t="s">
        <v>97</v>
      </c>
      <c r="J220" s="99"/>
      <c r="L220" s="48" t="s">
        <v>98</v>
      </c>
    </row>
    <row r="221" spans="1:12" ht="12.75">
      <c r="A221" s="4"/>
      <c r="B221" s="67" t="s">
        <v>99</v>
      </c>
      <c r="C221" s="68"/>
      <c r="D221" s="68"/>
      <c r="E221" s="68"/>
      <c r="F221" s="68"/>
      <c r="G221" s="68" t="s">
        <v>43</v>
      </c>
      <c r="H221" s="7" t="s">
        <v>43</v>
      </c>
      <c r="I221" s="7"/>
      <c r="J221" s="108"/>
      <c r="L221" s="48"/>
    </row>
    <row r="222" spans="1:12" ht="12.75">
      <c r="A222" s="4"/>
      <c r="B222" s="57" t="s">
        <v>100</v>
      </c>
      <c r="C222" s="34"/>
      <c r="D222" s="35"/>
      <c r="E222" s="35"/>
      <c r="F222" s="35"/>
      <c r="G222" s="34" t="s">
        <v>41</v>
      </c>
      <c r="H222" s="22"/>
      <c r="I222" s="22"/>
      <c r="J222" s="99"/>
      <c r="L222" s="48" t="s">
        <v>101</v>
      </c>
    </row>
    <row r="223" spans="1:12" ht="12.75">
      <c r="A223" s="4"/>
      <c r="B223" s="57" t="s">
        <v>102</v>
      </c>
      <c r="C223" s="34"/>
      <c r="D223" s="35"/>
      <c r="E223" s="35"/>
      <c r="F223" s="35"/>
      <c r="G223" s="34" t="s">
        <v>41</v>
      </c>
      <c r="H223" s="22"/>
      <c r="I223" s="22"/>
      <c r="J223" s="99"/>
      <c r="L223" s="48" t="s">
        <v>103</v>
      </c>
    </row>
    <row r="224" spans="1:12" ht="12.75">
      <c r="A224" s="4"/>
      <c r="B224" s="57" t="s">
        <v>242</v>
      </c>
      <c r="C224" s="34"/>
      <c r="D224" s="35"/>
      <c r="E224" s="35"/>
      <c r="F224" s="35"/>
      <c r="G224" s="34" t="s">
        <v>41</v>
      </c>
      <c r="H224" s="22"/>
      <c r="I224" s="59">
        <f>HYPERLINK("MessageRecord!Msg_Billing_TimeSpan","TimeSpan")</f>
        <v>0</v>
      </c>
      <c r="J224" s="99"/>
      <c r="L224" s="48" t="s">
        <v>189</v>
      </c>
    </row>
    <row r="225" spans="2:12" ht="14.25" customHeight="1">
      <c r="B225" s="60"/>
      <c r="C225" s="79"/>
      <c r="D225" s="79"/>
      <c r="E225" s="79"/>
      <c r="F225" s="79"/>
      <c r="G225" s="79"/>
      <c r="H225" s="10"/>
      <c r="I225" s="29"/>
      <c r="J225" s="29"/>
      <c r="L225" s="48"/>
    </row>
    <row r="226" spans="1:12" ht="12.75">
      <c r="A226" s="4"/>
      <c r="B226" s="30" t="s">
        <v>231</v>
      </c>
      <c r="C226" s="19" t="s">
        <v>28</v>
      </c>
      <c r="D226" s="19"/>
      <c r="E226" s="19"/>
      <c r="F226" s="19"/>
      <c r="G226" s="31" t="s">
        <v>29</v>
      </c>
      <c r="H226" s="31"/>
      <c r="I226" s="32"/>
      <c r="J226" s="13"/>
      <c r="L226" s="48"/>
    </row>
    <row r="227" spans="1:10" ht="12.75">
      <c r="A227" s="4"/>
      <c r="B227" s="33" t="s">
        <v>32</v>
      </c>
      <c r="C227" s="23"/>
      <c r="D227" s="23" t="s">
        <v>33</v>
      </c>
      <c r="E227" s="23" t="s">
        <v>34</v>
      </c>
      <c r="F227" s="23" t="s">
        <v>35</v>
      </c>
      <c r="G227" s="33" t="s">
        <v>36</v>
      </c>
      <c r="H227" s="33" t="s">
        <v>37</v>
      </c>
      <c r="I227" s="33" t="s">
        <v>38</v>
      </c>
      <c r="J227" s="99" t="s">
        <v>39</v>
      </c>
    </row>
    <row r="228" spans="1:12" ht="13.5">
      <c r="A228" s="4"/>
      <c r="B228" s="57" t="s">
        <v>106</v>
      </c>
      <c r="C228" s="25"/>
      <c r="D228" s="25"/>
      <c r="E228" s="25"/>
      <c r="F228" s="25"/>
      <c r="G228" s="24" t="s">
        <v>41</v>
      </c>
      <c r="H228" s="24"/>
      <c r="I228" s="24"/>
      <c r="J228" s="101"/>
      <c r="L228" s="48" t="s">
        <v>107</v>
      </c>
    </row>
    <row r="229" spans="1:12" ht="13.5">
      <c r="A229" s="4"/>
      <c r="B229" s="57" t="s">
        <v>108</v>
      </c>
      <c r="C229" s="25"/>
      <c r="D229" s="25"/>
      <c r="E229" s="25"/>
      <c r="F229" s="25"/>
      <c r="G229" s="24" t="s">
        <v>41</v>
      </c>
      <c r="H229" s="24"/>
      <c r="I229" s="24"/>
      <c r="J229" s="101"/>
      <c r="L229" s="76" t="s">
        <v>86</v>
      </c>
    </row>
    <row r="230" spans="1:10" ht="13.5">
      <c r="A230" s="4"/>
      <c r="B230" s="67" t="s">
        <v>109</v>
      </c>
      <c r="C230" s="26"/>
      <c r="D230" s="26"/>
      <c r="E230" s="26"/>
      <c r="F230" s="26"/>
      <c r="G230" s="26" t="s">
        <v>43</v>
      </c>
      <c r="H230" s="26"/>
      <c r="I230" s="26"/>
      <c r="J230" s="102"/>
    </row>
    <row r="231" spans="2:10" ht="14.25" customHeight="1">
      <c r="B231" s="10"/>
      <c r="C231" s="10"/>
      <c r="D231" s="10"/>
      <c r="E231" s="10"/>
      <c r="F231" s="10"/>
      <c r="G231" s="10"/>
      <c r="H231" s="10"/>
      <c r="I231" s="29"/>
      <c r="J231" s="29"/>
    </row>
    <row r="232" spans="1:10" ht="12.75">
      <c r="A232" s="4"/>
      <c r="B232" s="30" t="s">
        <v>286</v>
      </c>
      <c r="C232" s="19" t="s">
        <v>28</v>
      </c>
      <c r="D232" s="19"/>
      <c r="E232" s="19"/>
      <c r="F232" s="19"/>
      <c r="G232" s="31" t="s">
        <v>29</v>
      </c>
      <c r="H232" s="31"/>
      <c r="I232" s="32"/>
      <c r="J232" s="13"/>
    </row>
    <row r="233" spans="1:10" ht="12.75">
      <c r="A233" s="4"/>
      <c r="B233" s="33" t="s">
        <v>32</v>
      </c>
      <c r="C233" s="23"/>
      <c r="D233" s="23" t="s">
        <v>33</v>
      </c>
      <c r="E233" s="23" t="s">
        <v>34</v>
      </c>
      <c r="F233" s="23" t="s">
        <v>35</v>
      </c>
      <c r="G233" s="33" t="s">
        <v>36</v>
      </c>
      <c r="H233" s="33" t="s">
        <v>37</v>
      </c>
      <c r="I233" s="33" t="s">
        <v>38</v>
      </c>
      <c r="J233" s="99" t="s">
        <v>39</v>
      </c>
    </row>
    <row r="234" spans="1:12" ht="13.5">
      <c r="A234" s="4"/>
      <c r="B234" s="57" t="s">
        <v>287</v>
      </c>
      <c r="C234" s="35"/>
      <c r="D234" s="35"/>
      <c r="E234" s="35"/>
      <c r="F234" s="35"/>
      <c r="G234" s="34" t="s">
        <v>41</v>
      </c>
      <c r="H234" s="22"/>
      <c r="I234" s="22" t="s">
        <v>115</v>
      </c>
      <c r="J234" s="99"/>
      <c r="L234" s="48" t="s">
        <v>681</v>
      </c>
    </row>
    <row r="235" spans="1:13" ht="12.75">
      <c r="A235" s="4"/>
      <c r="B235" s="57" t="s">
        <v>288</v>
      </c>
      <c r="C235" s="35"/>
      <c r="D235" s="35"/>
      <c r="E235" s="35"/>
      <c r="F235" s="35"/>
      <c r="G235" s="34" t="s">
        <v>41</v>
      </c>
      <c r="H235" s="22"/>
      <c r="I235" s="22" t="s">
        <v>123</v>
      </c>
      <c r="J235" s="99"/>
      <c r="L235" s="76" t="s">
        <v>101</v>
      </c>
      <c r="M235" s="76" t="s">
        <v>682</v>
      </c>
    </row>
    <row r="236" spans="1:12" ht="12.75">
      <c r="A236" s="4"/>
      <c r="B236" s="57" t="s">
        <v>289</v>
      </c>
      <c r="C236" s="35"/>
      <c r="D236" s="35"/>
      <c r="E236" s="35"/>
      <c r="F236" s="35"/>
      <c r="G236" s="34" t="s">
        <v>41</v>
      </c>
      <c r="H236" s="22"/>
      <c r="I236" s="22" t="s">
        <v>290</v>
      </c>
      <c r="J236" s="99"/>
      <c r="L236" s="48">
        <v>15</v>
      </c>
    </row>
    <row r="237" spans="1:12" ht="12.75">
      <c r="A237" s="4"/>
      <c r="B237" s="57" t="s">
        <v>291</v>
      </c>
      <c r="C237" s="35"/>
      <c r="D237" s="35"/>
      <c r="E237" s="35"/>
      <c r="F237" s="35"/>
      <c r="G237" s="34" t="s">
        <v>41</v>
      </c>
      <c r="H237" s="22"/>
      <c r="I237" s="22" t="s">
        <v>123</v>
      </c>
      <c r="J237" s="99"/>
      <c r="L237" s="76" t="s">
        <v>683</v>
      </c>
    </row>
    <row r="238" spans="1:12" ht="13.5">
      <c r="A238" s="4"/>
      <c r="B238" s="57" t="s">
        <v>292</v>
      </c>
      <c r="C238" s="35"/>
      <c r="D238" s="35"/>
      <c r="E238" s="35"/>
      <c r="F238" s="35"/>
      <c r="G238" s="34" t="s">
        <v>41</v>
      </c>
      <c r="H238" s="22"/>
      <c r="I238" s="22" t="s">
        <v>293</v>
      </c>
      <c r="J238" s="99"/>
      <c r="L238" s="76" t="s">
        <v>684</v>
      </c>
    </row>
    <row r="239" spans="1:10" ht="15" customHeight="1">
      <c r="A239" s="4"/>
      <c r="B239" s="67" t="s">
        <v>672</v>
      </c>
      <c r="C239" s="68"/>
      <c r="D239" s="68"/>
      <c r="E239" s="68"/>
      <c r="F239" s="68"/>
      <c r="G239" s="68"/>
      <c r="H239" s="7" t="s">
        <v>43</v>
      </c>
      <c r="I239" s="7"/>
      <c r="J239" s="108"/>
    </row>
    <row r="240" spans="1:10" ht="199.5" customHeight="1">
      <c r="A240" s="4"/>
      <c r="B240" s="80" t="s">
        <v>685</v>
      </c>
      <c r="C240" s="81"/>
      <c r="D240" s="81"/>
      <c r="E240" s="81"/>
      <c r="F240" s="81"/>
      <c r="G240" s="81"/>
      <c r="H240" s="81" t="s">
        <v>59</v>
      </c>
      <c r="I240" s="45" t="s">
        <v>686</v>
      </c>
      <c r="J240" s="116"/>
    </row>
    <row r="241" spans="1:10" ht="165.75">
      <c r="A241" s="4"/>
      <c r="B241" s="80" t="s">
        <v>687</v>
      </c>
      <c r="C241" s="81"/>
      <c r="D241" s="81"/>
      <c r="E241" s="81"/>
      <c r="F241" s="81"/>
      <c r="G241" s="81"/>
      <c r="H241" s="81" t="s">
        <v>59</v>
      </c>
      <c r="I241" s="45" t="s">
        <v>686</v>
      </c>
      <c r="J241" s="116"/>
    </row>
  </sheetData>
  <sheetProtection selectLockedCells="1" selectUnlockedCells="1"/>
  <mergeCells count="77">
    <mergeCell ref="B10:F10"/>
    <mergeCell ref="C12:F12"/>
    <mergeCell ref="G12:H12"/>
    <mergeCell ref="C20:F20"/>
    <mergeCell ref="G20:H20"/>
    <mergeCell ref="B26:F26"/>
    <mergeCell ref="G26:J26"/>
    <mergeCell ref="B27:F27"/>
    <mergeCell ref="G27:J27"/>
    <mergeCell ref="C29:F29"/>
    <mergeCell ref="G29:H29"/>
    <mergeCell ref="C36:F36"/>
    <mergeCell ref="G36:H36"/>
    <mergeCell ref="C42:F42"/>
    <mergeCell ref="G42:H42"/>
    <mergeCell ref="C48:F48"/>
    <mergeCell ref="G48:H48"/>
    <mergeCell ref="C54:F54"/>
    <mergeCell ref="G54:H54"/>
    <mergeCell ref="C63:F63"/>
    <mergeCell ref="G63:H63"/>
    <mergeCell ref="C70:F70"/>
    <mergeCell ref="G70:H70"/>
    <mergeCell ref="C85:F85"/>
    <mergeCell ref="G85:H85"/>
    <mergeCell ref="C93:F93"/>
    <mergeCell ref="G93:H93"/>
    <mergeCell ref="C98:F98"/>
    <mergeCell ref="G98:H98"/>
    <mergeCell ref="B113:F113"/>
    <mergeCell ref="G113:J113"/>
    <mergeCell ref="B114:F114"/>
    <mergeCell ref="G114:J114"/>
    <mergeCell ref="C116:F116"/>
    <mergeCell ref="G116:H116"/>
    <mergeCell ref="C123:F123"/>
    <mergeCell ref="G123:H123"/>
    <mergeCell ref="C128:F128"/>
    <mergeCell ref="G128:H128"/>
    <mergeCell ref="C134:F134"/>
    <mergeCell ref="G134:H134"/>
    <mergeCell ref="C140:F140"/>
    <mergeCell ref="G140:H140"/>
    <mergeCell ref="B153:F153"/>
    <mergeCell ref="G153:J153"/>
    <mergeCell ref="B154:F154"/>
    <mergeCell ref="G154:J154"/>
    <mergeCell ref="C156:F156"/>
    <mergeCell ref="G156:H156"/>
    <mergeCell ref="C166:F166"/>
    <mergeCell ref="G166:H166"/>
    <mergeCell ref="C172:F172"/>
    <mergeCell ref="G172:H172"/>
    <mergeCell ref="C178:F178"/>
    <mergeCell ref="G178:H178"/>
    <mergeCell ref="C186:F186"/>
    <mergeCell ref="G186:H186"/>
    <mergeCell ref="B195:F195"/>
    <mergeCell ref="G195:J195"/>
    <mergeCell ref="B196:F196"/>
    <mergeCell ref="G196:J196"/>
    <mergeCell ref="B198:F198"/>
    <mergeCell ref="G198:J198"/>
    <mergeCell ref="B199:F199"/>
    <mergeCell ref="G199:J199"/>
    <mergeCell ref="B201:F201"/>
    <mergeCell ref="G201:J201"/>
    <mergeCell ref="B202:F202"/>
    <mergeCell ref="G202:J202"/>
    <mergeCell ref="C204:F204"/>
    <mergeCell ref="G204:H204"/>
    <mergeCell ref="C211:F211"/>
    <mergeCell ref="G211:H211"/>
    <mergeCell ref="C226:F226"/>
    <mergeCell ref="G226:H226"/>
    <mergeCell ref="C232:F232"/>
    <mergeCell ref="G232:H232"/>
  </mergeCells>
  <printOptions/>
  <pageMargins left="0.75" right="0.75" top="0.5" bottom="0.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M354"/>
  <sheetViews>
    <sheetView zoomScaleSheetLayoutView="100" workbookViewId="0" topLeftCell="A1">
      <selection activeCell="G39" sqref="G39"/>
    </sheetView>
  </sheetViews>
  <sheetFormatPr defaultColWidth="37.7109375" defaultRowHeight="12.75"/>
  <cols>
    <col min="1" max="1" width="6.140625" style="0" customWidth="1"/>
    <col min="2" max="2" width="39.57421875" style="0" customWidth="1"/>
    <col min="3" max="3" width="0.42578125" style="0" customWidth="1"/>
    <col min="4" max="6" width="0.2890625" style="0" customWidth="1"/>
    <col min="7" max="7" width="9.7109375" style="0" customWidth="1"/>
    <col min="8" max="8" width="13.00390625" style="0" customWidth="1"/>
    <col min="9" max="9" width="36.8515625" style="0" customWidth="1"/>
    <col min="10" max="10" width="24.28125" style="0" customWidth="1"/>
    <col min="11" max="11" width="11.57421875" style="0" customWidth="1"/>
    <col min="12" max="12" width="28.8515625" style="47" customWidth="1"/>
    <col min="13" max="13" width="34.57421875" style="47" customWidth="1"/>
  </cols>
  <sheetData>
    <row r="1" ht="14.25" customHeight="1"/>
    <row r="2" ht="12.75">
      <c r="B2" s="1" t="s">
        <v>688</v>
      </c>
    </row>
    <row r="3" ht="15" customHeight="1"/>
    <row r="4" ht="15" customHeight="1">
      <c r="B4" s="49">
        <f>HYPERLINK("MultimediaRecord!MM_Multimedia_Subscriber","LINK TO Multimedia_Subscriber")</f>
        <v>0</v>
      </c>
    </row>
    <row r="5" ht="15" customHeight="1">
      <c r="B5" s="49">
        <f>HYPERLINK("MultimediaRecord!MM_Multimedia_Service_Usage","LINK TO Multimedia_Service_Usage")</f>
        <v>0</v>
      </c>
    </row>
    <row r="6" ht="15" customHeight="1">
      <c r="B6" s="49">
        <f>HYPERLINK("MultimediaRecord!MM_Multimedia_Billing_Details","LINK TO Multimedia_Billing_Details")</f>
        <v>0</v>
      </c>
    </row>
    <row r="7" ht="15" customHeight="1"/>
    <row r="8" spans="1:13" ht="12.75">
      <c r="A8" s="50" t="s">
        <v>689</v>
      </c>
      <c r="B8" s="50"/>
      <c r="C8" s="51"/>
      <c r="D8" s="51"/>
      <c r="E8" s="51"/>
      <c r="F8" s="51"/>
      <c r="G8" s="51"/>
      <c r="H8" s="51"/>
      <c r="I8" s="51"/>
      <c r="J8" s="51"/>
      <c r="L8" s="55" t="s">
        <v>63</v>
      </c>
      <c r="M8" s="76" t="s">
        <v>64</v>
      </c>
    </row>
    <row r="9" spans="2:6" ht="15.75" customHeight="1">
      <c r="B9" s="53"/>
      <c r="C9" s="3"/>
      <c r="D9" s="3"/>
      <c r="E9" s="3"/>
      <c r="F9" s="3"/>
    </row>
    <row r="10" spans="1:7" ht="39" customHeight="1">
      <c r="A10" s="4"/>
      <c r="B10" s="24" t="s">
        <v>62</v>
      </c>
      <c r="C10" s="24"/>
      <c r="D10" s="24"/>
      <c r="E10" s="24"/>
      <c r="F10" s="24"/>
      <c r="G10" s="8"/>
    </row>
    <row r="11" spans="2:8" ht="12.75">
      <c r="B11" s="54"/>
      <c r="C11" s="10"/>
      <c r="D11" s="10"/>
      <c r="E11" s="10"/>
      <c r="F11" s="10"/>
      <c r="G11" s="3"/>
      <c r="H11" s="3"/>
    </row>
    <row r="12" spans="1:13" ht="12.75">
      <c r="A12" s="4"/>
      <c r="B12" s="30" t="s">
        <v>690</v>
      </c>
      <c r="C12" s="19" t="s">
        <v>28</v>
      </c>
      <c r="D12" s="19"/>
      <c r="E12" s="19"/>
      <c r="F12" s="19"/>
      <c r="G12" s="31" t="s">
        <v>29</v>
      </c>
      <c r="H12" s="31"/>
      <c r="I12" s="32"/>
      <c r="J12" s="13"/>
      <c r="K12" s="117"/>
      <c r="L12" s="117"/>
      <c r="M12" s="117"/>
    </row>
    <row r="13" spans="1:13" ht="12.75">
      <c r="A13" s="4"/>
      <c r="B13" s="33" t="s">
        <v>32</v>
      </c>
      <c r="C13" s="23"/>
      <c r="D13" s="23" t="s">
        <v>33</v>
      </c>
      <c r="E13" s="23" t="s">
        <v>34</v>
      </c>
      <c r="F13" s="23" t="s">
        <v>35</v>
      </c>
      <c r="G13" s="33" t="s">
        <v>36</v>
      </c>
      <c r="H13" s="33" t="s">
        <v>37</v>
      </c>
      <c r="I13" s="33" t="s">
        <v>38</v>
      </c>
      <c r="J13" s="99" t="s">
        <v>39</v>
      </c>
      <c r="K13" s="117"/>
      <c r="L13" s="117"/>
      <c r="M13" s="117"/>
    </row>
    <row r="14" spans="1:13" ht="204" customHeight="1">
      <c r="A14" s="4"/>
      <c r="B14" s="57" t="s">
        <v>168</v>
      </c>
      <c r="C14" s="25"/>
      <c r="D14" s="25"/>
      <c r="E14" s="25"/>
      <c r="F14" s="25"/>
      <c r="G14" s="24" t="s">
        <v>41</v>
      </c>
      <c r="H14" s="24"/>
      <c r="I14" s="18" t="s">
        <v>691</v>
      </c>
      <c r="J14" s="115">
        <f>HYPERLINK("MultimediaRecord!subscriberID","subscriberID")</f>
        <v>0</v>
      </c>
      <c r="K14" s="117"/>
      <c r="L14" s="117" t="s">
        <v>170</v>
      </c>
      <c r="M14" s="117"/>
    </row>
    <row r="15" spans="1:13" ht="13.5">
      <c r="A15" s="4"/>
      <c r="B15" s="57" t="s">
        <v>171</v>
      </c>
      <c r="C15" s="24"/>
      <c r="D15" s="25"/>
      <c r="E15" s="25"/>
      <c r="F15" s="25"/>
      <c r="G15" s="24" t="s">
        <v>41</v>
      </c>
      <c r="H15" s="24"/>
      <c r="I15" s="27">
        <f>HYPERLINK("GenericSubInfo!A1","GenericSubscriberInfo")</f>
        <v>0</v>
      </c>
      <c r="J15" s="101"/>
      <c r="K15" s="117"/>
      <c r="L15" s="117" t="s">
        <v>172</v>
      </c>
      <c r="M15" s="117"/>
    </row>
    <row r="16" spans="1:13" ht="13.5">
      <c r="A16" s="4"/>
      <c r="B16" s="67" t="s">
        <v>692</v>
      </c>
      <c r="C16" s="26"/>
      <c r="D16" s="26"/>
      <c r="E16" s="26"/>
      <c r="F16" s="26"/>
      <c r="G16" s="26"/>
      <c r="H16" s="26" t="s">
        <v>43</v>
      </c>
      <c r="I16" s="26"/>
      <c r="J16" s="102"/>
      <c r="K16" s="117"/>
      <c r="L16" s="117"/>
      <c r="M16" s="117"/>
    </row>
    <row r="17" spans="1:13" ht="16.5" customHeight="1">
      <c r="A17" s="4"/>
      <c r="B17" s="57" t="s">
        <v>693</v>
      </c>
      <c r="C17" s="24"/>
      <c r="D17" s="25"/>
      <c r="E17" s="25"/>
      <c r="F17" s="25"/>
      <c r="G17" s="24" t="s">
        <v>41</v>
      </c>
      <c r="H17" s="24"/>
      <c r="I17" s="27">
        <f>HYPERLINK("MultimediaRecord!MM_SubscribedMultimediaServices","SubscribedMultimediaServices")</f>
        <v>0</v>
      </c>
      <c r="J17" s="101"/>
      <c r="K17" s="117"/>
      <c r="L17" s="117" t="s">
        <v>694</v>
      </c>
      <c r="M17" s="117"/>
    </row>
    <row r="18" spans="2:13" ht="14.25" customHeight="1">
      <c r="B18" s="10"/>
      <c r="C18" s="10"/>
      <c r="D18" s="10"/>
      <c r="E18" s="10"/>
      <c r="F18" s="10"/>
      <c r="G18" s="10"/>
      <c r="H18" s="10"/>
      <c r="I18" s="10"/>
      <c r="J18" s="10"/>
      <c r="K18" s="117"/>
      <c r="L18" s="117"/>
      <c r="M18" s="117"/>
    </row>
    <row r="19" spans="1:13" ht="79.5" customHeight="1">
      <c r="A19" s="4"/>
      <c r="B19" s="36" t="s">
        <v>695</v>
      </c>
      <c r="C19" s="36"/>
      <c r="D19" s="36"/>
      <c r="E19" s="36"/>
      <c r="F19" s="36"/>
      <c r="G19" s="37" t="s">
        <v>52</v>
      </c>
      <c r="H19" s="37"/>
      <c r="I19" s="37"/>
      <c r="J19" s="37"/>
      <c r="K19" s="117"/>
      <c r="L19" s="117"/>
      <c r="M19" s="117" t="s">
        <v>696</v>
      </c>
    </row>
    <row r="20" spans="1:13" ht="26.25" customHeight="1">
      <c r="A20" s="4"/>
      <c r="B20" s="38" t="s">
        <v>697</v>
      </c>
      <c r="C20" s="38"/>
      <c r="D20" s="38"/>
      <c r="E20" s="38"/>
      <c r="F20" s="38"/>
      <c r="G20" s="25"/>
      <c r="H20" s="25"/>
      <c r="I20" s="25"/>
      <c r="J20" s="25"/>
      <c r="K20" s="117"/>
      <c r="L20" s="118">
        <v>41324552323</v>
      </c>
      <c r="M20" s="118" t="s">
        <v>559</v>
      </c>
    </row>
    <row r="21" spans="2:13" ht="14.25" customHeight="1">
      <c r="B21" s="10"/>
      <c r="C21" s="10"/>
      <c r="D21" s="10"/>
      <c r="E21" s="10"/>
      <c r="F21" s="10"/>
      <c r="G21" s="10"/>
      <c r="H21" s="10"/>
      <c r="I21" s="29"/>
      <c r="J21" s="29"/>
      <c r="K21" s="117"/>
      <c r="L21" s="117"/>
      <c r="M21" s="117"/>
    </row>
    <row r="22" spans="1:13" ht="12.75">
      <c r="A22" s="4"/>
      <c r="B22" s="30" t="s">
        <v>698</v>
      </c>
      <c r="C22" s="19" t="s">
        <v>28</v>
      </c>
      <c r="D22" s="19"/>
      <c r="E22" s="19"/>
      <c r="F22" s="19"/>
      <c r="G22" s="31" t="s">
        <v>29</v>
      </c>
      <c r="H22" s="31"/>
      <c r="I22" s="32"/>
      <c r="J22" s="13"/>
      <c r="K22" s="117"/>
      <c r="L22" s="117"/>
      <c r="M22" s="117"/>
    </row>
    <row r="23" spans="1:13" ht="12.75">
      <c r="A23" s="4"/>
      <c r="B23" s="33" t="s">
        <v>32</v>
      </c>
      <c r="C23" s="23"/>
      <c r="D23" s="23" t="s">
        <v>33</v>
      </c>
      <c r="E23" s="23" t="s">
        <v>34</v>
      </c>
      <c r="F23" s="23" t="s">
        <v>35</v>
      </c>
      <c r="G23" s="33" t="s">
        <v>36</v>
      </c>
      <c r="H23" s="33" t="s">
        <v>37</v>
      </c>
      <c r="I23" s="33" t="s">
        <v>38</v>
      </c>
      <c r="J23" s="99" t="s">
        <v>39</v>
      </c>
      <c r="K23" s="117"/>
      <c r="L23" s="117"/>
      <c r="M23" s="117"/>
    </row>
    <row r="24" spans="1:13" ht="60.75" customHeight="1">
      <c r="A24" s="4"/>
      <c r="B24" s="57" t="s">
        <v>183</v>
      </c>
      <c r="C24" s="25"/>
      <c r="D24" s="25"/>
      <c r="E24" s="25"/>
      <c r="F24" s="25"/>
      <c r="G24" s="24" t="s">
        <v>41</v>
      </c>
      <c r="H24" s="24"/>
      <c r="I24" s="24" t="s">
        <v>699</v>
      </c>
      <c r="J24" s="115">
        <f>HYPERLINK("MultimediaRecord!MM_serviceID","serviceID")</f>
        <v>0</v>
      </c>
      <c r="K24" s="117"/>
      <c r="L24" s="117" t="s">
        <v>185</v>
      </c>
      <c r="M24" s="117"/>
    </row>
    <row r="25" spans="1:13" ht="34.5">
      <c r="A25" s="4"/>
      <c r="B25" s="57" t="s">
        <v>186</v>
      </c>
      <c r="C25" s="25"/>
      <c r="D25" s="25"/>
      <c r="E25" s="25"/>
      <c r="F25" s="25"/>
      <c r="G25" s="24" t="s">
        <v>41</v>
      </c>
      <c r="H25" s="24"/>
      <c r="I25" s="18" t="s">
        <v>700</v>
      </c>
      <c r="J25" s="101"/>
      <c r="K25" s="117"/>
      <c r="L25" s="117" t="s">
        <v>701</v>
      </c>
      <c r="M25" s="117" t="s">
        <v>702</v>
      </c>
    </row>
    <row r="26" spans="1:13" ht="23.25">
      <c r="A26" s="4"/>
      <c r="B26" s="57" t="s">
        <v>188</v>
      </c>
      <c r="C26" s="25"/>
      <c r="D26" s="25"/>
      <c r="E26" s="25"/>
      <c r="F26" s="25"/>
      <c r="G26" s="24" t="s">
        <v>41</v>
      </c>
      <c r="H26" s="24"/>
      <c r="I26" s="27">
        <f>HYPERLINK("MultimediaRecord!MM_TimeSpan_Subscription","TimeSpan")</f>
        <v>0</v>
      </c>
      <c r="J26" s="101"/>
      <c r="K26" s="117"/>
      <c r="L26" s="117" t="s">
        <v>189</v>
      </c>
      <c r="M26" s="117" t="s">
        <v>216</v>
      </c>
    </row>
    <row r="27" spans="1:13" ht="51.75">
      <c r="A27" s="4"/>
      <c r="B27" s="57" t="s">
        <v>703</v>
      </c>
      <c r="C27" s="25"/>
      <c r="D27" s="25"/>
      <c r="E27" s="25"/>
      <c r="F27" s="25"/>
      <c r="G27" s="24" t="s">
        <v>41</v>
      </c>
      <c r="H27" s="24"/>
      <c r="I27" s="24" t="s">
        <v>704</v>
      </c>
      <c r="J27" s="101"/>
      <c r="K27" s="117"/>
      <c r="L27" s="118">
        <f>41324552323</f>
        <v>41324552323</v>
      </c>
      <c r="M27" s="117"/>
    </row>
    <row r="28" spans="1:13" ht="13.5">
      <c r="A28" s="4"/>
      <c r="B28" s="57" t="s">
        <v>192</v>
      </c>
      <c r="C28" s="25"/>
      <c r="D28" s="25"/>
      <c r="E28" s="25"/>
      <c r="F28" s="25"/>
      <c r="G28" s="24" t="s">
        <v>41</v>
      </c>
      <c r="H28" s="24"/>
      <c r="I28" s="24"/>
      <c r="J28" s="101"/>
      <c r="K28" s="117"/>
      <c r="L28" s="117"/>
      <c r="M28" s="117"/>
    </row>
    <row r="29" spans="1:13" ht="13.5">
      <c r="A29" s="4"/>
      <c r="B29" s="57" t="s">
        <v>195</v>
      </c>
      <c r="C29" s="25"/>
      <c r="D29" s="25"/>
      <c r="E29" s="25"/>
      <c r="F29" s="25"/>
      <c r="G29" s="24" t="s">
        <v>41</v>
      </c>
      <c r="H29" s="24"/>
      <c r="I29" s="27">
        <f>HYPERLINK("MultimediaRecord!MM_MultimediaServiceType","MultimediaServiceType")</f>
        <v>0</v>
      </c>
      <c r="J29" s="101"/>
      <c r="K29" s="117"/>
      <c r="L29" s="117" t="s">
        <v>705</v>
      </c>
      <c r="M29" s="117"/>
    </row>
    <row r="30" spans="1:13" ht="13.5">
      <c r="A30" s="4"/>
      <c r="B30" s="57" t="s">
        <v>197</v>
      </c>
      <c r="C30" s="25"/>
      <c r="D30" s="25"/>
      <c r="E30" s="25"/>
      <c r="F30" s="25"/>
      <c r="G30" s="24" t="s">
        <v>41</v>
      </c>
      <c r="H30" s="24"/>
      <c r="I30" s="27">
        <f>HYPERLINK("MultimediaRecord!MM_install_AddressInformation","AddressInformation")</f>
        <v>0</v>
      </c>
      <c r="J30" s="101"/>
      <c r="K30" s="117"/>
      <c r="L30" s="117" t="s">
        <v>706</v>
      </c>
      <c r="M30" s="117"/>
    </row>
    <row r="31" spans="1:13" ht="40.5" customHeight="1">
      <c r="A31" s="4"/>
      <c r="B31" s="57" t="s">
        <v>199</v>
      </c>
      <c r="C31" s="25"/>
      <c r="D31" s="25"/>
      <c r="E31" s="25"/>
      <c r="F31" s="25"/>
      <c r="G31" s="24" t="s">
        <v>41</v>
      </c>
      <c r="H31" s="24"/>
      <c r="I31" s="18" t="s">
        <v>200</v>
      </c>
      <c r="J31" s="101"/>
      <c r="K31" s="117"/>
      <c r="L31" s="117" t="s">
        <v>707</v>
      </c>
      <c r="M31" s="117"/>
    </row>
    <row r="32" spans="1:13" ht="13.5">
      <c r="A32" s="4"/>
      <c r="B32" s="57" t="s">
        <v>202</v>
      </c>
      <c r="C32" s="25"/>
      <c r="D32" s="25"/>
      <c r="E32" s="25"/>
      <c r="F32" s="25"/>
      <c r="G32" s="24" t="s">
        <v>41</v>
      </c>
      <c r="H32" s="24"/>
      <c r="I32" s="24"/>
      <c r="J32" s="101"/>
      <c r="K32" s="117"/>
      <c r="L32" s="117" t="s">
        <v>86</v>
      </c>
      <c r="M32" s="117"/>
    </row>
    <row r="33" spans="1:13" ht="13.5">
      <c r="A33" s="4"/>
      <c r="B33" s="57" t="s">
        <v>205</v>
      </c>
      <c r="C33" s="25"/>
      <c r="D33" s="25"/>
      <c r="E33" s="25"/>
      <c r="F33" s="25"/>
      <c r="G33" s="24" t="s">
        <v>41</v>
      </c>
      <c r="H33" s="24"/>
      <c r="I33" s="24"/>
      <c r="J33" s="101"/>
      <c r="K33" s="117"/>
      <c r="L33" s="117" t="s">
        <v>86</v>
      </c>
      <c r="M33" s="117"/>
    </row>
    <row r="34" spans="1:13" ht="26.25">
      <c r="A34" s="4"/>
      <c r="B34" s="57" t="s">
        <v>206</v>
      </c>
      <c r="C34" s="25"/>
      <c r="D34" s="25"/>
      <c r="E34" s="25"/>
      <c r="F34" s="25"/>
      <c r="G34" s="24" t="s">
        <v>41</v>
      </c>
      <c r="H34" s="24"/>
      <c r="I34" s="24" t="s">
        <v>207</v>
      </c>
      <c r="J34" s="101"/>
      <c r="K34" s="117"/>
      <c r="L34" s="117" t="s">
        <v>208</v>
      </c>
      <c r="M34" s="117"/>
    </row>
    <row r="35" spans="1:13" ht="13.5">
      <c r="A35" s="4"/>
      <c r="B35" s="67" t="s">
        <v>708</v>
      </c>
      <c r="C35" s="26"/>
      <c r="D35" s="26"/>
      <c r="E35" s="26"/>
      <c r="F35" s="26"/>
      <c r="G35" s="26"/>
      <c r="H35" s="26" t="s">
        <v>43</v>
      </c>
      <c r="I35" s="26"/>
      <c r="J35" s="102"/>
      <c r="K35" s="117"/>
      <c r="L35" s="117"/>
      <c r="M35" s="117"/>
    </row>
    <row r="36" spans="1:13" ht="13.5">
      <c r="A36" s="4"/>
      <c r="B36" s="57" t="s">
        <v>709</v>
      </c>
      <c r="C36" s="24"/>
      <c r="D36" s="25"/>
      <c r="E36" s="25"/>
      <c r="F36" s="25"/>
      <c r="G36" s="24" t="s">
        <v>41</v>
      </c>
      <c r="H36" s="24"/>
      <c r="I36" s="27">
        <f>HYPERLINK("MultimediaRecord!MM_PaymentDetails","PaymentDetails")</f>
        <v>0</v>
      </c>
      <c r="J36" s="101"/>
      <c r="K36" s="117"/>
      <c r="L36" s="117" t="s">
        <v>222</v>
      </c>
      <c r="M36" s="117"/>
    </row>
    <row r="37" spans="2:13" ht="14.25" customHeight="1">
      <c r="B37" s="10"/>
      <c r="C37" s="10"/>
      <c r="D37" s="10"/>
      <c r="E37" s="10"/>
      <c r="F37" s="10"/>
      <c r="G37" s="10"/>
      <c r="H37" s="10"/>
      <c r="I37" s="10"/>
      <c r="J37" s="10"/>
      <c r="K37" s="117"/>
      <c r="L37" s="117"/>
      <c r="M37" s="117"/>
    </row>
    <row r="38" spans="1:13" ht="68.25" customHeight="1">
      <c r="A38" s="4"/>
      <c r="B38" s="36" t="s">
        <v>710</v>
      </c>
      <c r="C38" s="36"/>
      <c r="D38" s="36"/>
      <c r="E38" s="36"/>
      <c r="F38" s="36"/>
      <c r="G38" s="37" t="s">
        <v>52</v>
      </c>
      <c r="H38" s="37"/>
      <c r="I38" s="37"/>
      <c r="J38" s="37"/>
      <c r="K38" s="117"/>
      <c r="L38" s="117"/>
      <c r="M38" s="117"/>
    </row>
    <row r="39" spans="1:13" ht="13.5" customHeight="1">
      <c r="A39" s="4"/>
      <c r="B39" s="38" t="s">
        <v>225</v>
      </c>
      <c r="C39" s="38"/>
      <c r="D39" s="38"/>
      <c r="E39" s="38"/>
      <c r="F39" s="38"/>
      <c r="G39" s="25"/>
      <c r="H39" s="25"/>
      <c r="I39" s="25"/>
      <c r="J39" s="25"/>
      <c r="K39" s="117"/>
      <c r="L39" s="117" t="s">
        <v>711</v>
      </c>
      <c r="M39" s="117"/>
    </row>
    <row r="40" spans="2:13" ht="14.25" customHeight="1">
      <c r="B40" s="10"/>
      <c r="C40" s="10"/>
      <c r="D40" s="10"/>
      <c r="E40" s="10"/>
      <c r="F40" s="10"/>
      <c r="G40" s="10"/>
      <c r="H40" s="10"/>
      <c r="I40" s="29"/>
      <c r="J40" s="29"/>
      <c r="K40" s="117"/>
      <c r="L40" s="117"/>
      <c r="M40" s="117"/>
    </row>
    <row r="41" spans="1:13" ht="12.75">
      <c r="A41" s="4"/>
      <c r="B41" s="30" t="s">
        <v>231</v>
      </c>
      <c r="C41" s="19" t="s">
        <v>28</v>
      </c>
      <c r="D41" s="19"/>
      <c r="E41" s="19"/>
      <c r="F41" s="19"/>
      <c r="G41" s="31" t="s">
        <v>29</v>
      </c>
      <c r="H41" s="31"/>
      <c r="I41" s="32"/>
      <c r="J41" s="13"/>
      <c r="K41" s="117"/>
      <c r="L41" s="117"/>
      <c r="M41" s="117"/>
    </row>
    <row r="42" spans="1:13" ht="12.75">
      <c r="A42" s="4"/>
      <c r="B42" s="33" t="s">
        <v>32</v>
      </c>
      <c r="C42" s="23"/>
      <c r="D42" s="23" t="s">
        <v>33</v>
      </c>
      <c r="E42" s="23" t="s">
        <v>34</v>
      </c>
      <c r="F42" s="23" t="s">
        <v>35</v>
      </c>
      <c r="G42" s="33" t="s">
        <v>36</v>
      </c>
      <c r="H42" s="33" t="s">
        <v>37</v>
      </c>
      <c r="I42" s="33" t="s">
        <v>38</v>
      </c>
      <c r="J42" s="99" t="s">
        <v>39</v>
      </c>
      <c r="K42" s="117"/>
      <c r="L42" s="117"/>
      <c r="M42" s="117"/>
    </row>
    <row r="43" spans="1:13" ht="26.25">
      <c r="A43" s="4"/>
      <c r="B43" s="57" t="s">
        <v>106</v>
      </c>
      <c r="C43" s="25"/>
      <c r="D43" s="25"/>
      <c r="E43" s="25"/>
      <c r="F43" s="25"/>
      <c r="G43" s="24" t="s">
        <v>41</v>
      </c>
      <c r="H43" s="24"/>
      <c r="I43" s="24" t="s">
        <v>712</v>
      </c>
      <c r="J43" s="101"/>
      <c r="K43" s="117"/>
      <c r="L43" s="117" t="s">
        <v>713</v>
      </c>
      <c r="M43" s="117"/>
    </row>
    <row r="44" spans="1:13" ht="28.5" customHeight="1">
      <c r="A44" s="4"/>
      <c r="B44" s="57" t="s">
        <v>108</v>
      </c>
      <c r="C44" s="25"/>
      <c r="D44" s="25"/>
      <c r="E44" s="25"/>
      <c r="F44" s="25"/>
      <c r="G44" s="24" t="s">
        <v>41</v>
      </c>
      <c r="H44" s="24"/>
      <c r="I44" s="24" t="s">
        <v>714</v>
      </c>
      <c r="J44" s="101"/>
      <c r="K44" s="117"/>
      <c r="L44" s="117" t="s">
        <v>86</v>
      </c>
      <c r="M44" s="117"/>
    </row>
    <row r="45" spans="1:13" ht="13.5">
      <c r="A45" s="4"/>
      <c r="B45" s="67" t="s">
        <v>109</v>
      </c>
      <c r="C45" s="26"/>
      <c r="D45" s="26"/>
      <c r="E45" s="26"/>
      <c r="F45" s="26"/>
      <c r="G45" s="26" t="s">
        <v>43</v>
      </c>
      <c r="H45" s="26"/>
      <c r="I45" s="26"/>
      <c r="J45" s="102"/>
      <c r="K45" s="117"/>
      <c r="L45" s="117"/>
      <c r="M45" s="117"/>
    </row>
    <row r="46" spans="2:13" ht="14.25" customHeight="1">
      <c r="B46" s="10"/>
      <c r="C46" s="10"/>
      <c r="D46" s="10"/>
      <c r="E46" s="10"/>
      <c r="F46" s="10"/>
      <c r="G46" s="10"/>
      <c r="H46" s="10"/>
      <c r="I46" s="29"/>
      <c r="J46" s="29"/>
      <c r="K46" s="117"/>
      <c r="L46" s="117"/>
      <c r="M46" s="117"/>
    </row>
    <row r="47" spans="1:13" ht="12.75">
      <c r="A47" s="4"/>
      <c r="B47" s="30" t="s">
        <v>715</v>
      </c>
      <c r="C47" s="19" t="s">
        <v>28</v>
      </c>
      <c r="D47" s="19"/>
      <c r="E47" s="19"/>
      <c r="F47" s="19"/>
      <c r="G47" s="31" t="s">
        <v>29</v>
      </c>
      <c r="H47" s="31"/>
      <c r="I47" s="32"/>
      <c r="J47" s="13"/>
      <c r="K47" s="117"/>
      <c r="L47" s="117"/>
      <c r="M47" s="117"/>
    </row>
    <row r="48" spans="1:13" ht="12.75">
      <c r="A48" s="4"/>
      <c r="B48" s="33" t="s">
        <v>32</v>
      </c>
      <c r="C48" s="23"/>
      <c r="D48" s="23" t="s">
        <v>33</v>
      </c>
      <c r="E48" s="23" t="s">
        <v>34</v>
      </c>
      <c r="F48" s="23" t="s">
        <v>35</v>
      </c>
      <c r="G48" s="33" t="s">
        <v>36</v>
      </c>
      <c r="H48" s="33" t="s">
        <v>37</v>
      </c>
      <c r="I48" s="33" t="s">
        <v>38</v>
      </c>
      <c r="J48" s="99" t="s">
        <v>39</v>
      </c>
      <c r="K48" s="117"/>
      <c r="L48" s="117"/>
      <c r="M48" s="117"/>
    </row>
    <row r="49" spans="1:13" ht="12.75">
      <c r="A49" s="4"/>
      <c r="B49" s="57" t="s">
        <v>235</v>
      </c>
      <c r="C49" s="35"/>
      <c r="D49" s="35"/>
      <c r="E49" s="35"/>
      <c r="F49" s="35"/>
      <c r="G49" s="34" t="s">
        <v>41</v>
      </c>
      <c r="H49" s="22"/>
      <c r="I49" s="22"/>
      <c r="J49" s="99"/>
      <c r="K49" s="117"/>
      <c r="L49" s="117" t="s">
        <v>716</v>
      </c>
      <c r="M49" s="117"/>
    </row>
    <row r="50" spans="1:13" ht="12.75">
      <c r="A50" s="4"/>
      <c r="B50" s="57" t="s">
        <v>237</v>
      </c>
      <c r="C50" s="35"/>
      <c r="D50" s="35"/>
      <c r="E50" s="35"/>
      <c r="F50" s="35"/>
      <c r="G50" s="34" t="s">
        <v>41</v>
      </c>
      <c r="H50" s="22"/>
      <c r="I50" s="22"/>
      <c r="J50" s="99"/>
      <c r="K50" s="117"/>
      <c r="L50" s="117"/>
      <c r="M50" s="117"/>
    </row>
    <row r="51" spans="1:13" ht="12.75">
      <c r="A51" s="4"/>
      <c r="B51" s="57" t="s">
        <v>238</v>
      </c>
      <c r="C51" s="35"/>
      <c r="D51" s="35"/>
      <c r="E51" s="35"/>
      <c r="F51" s="35"/>
      <c r="G51" s="34" t="s">
        <v>41</v>
      </c>
      <c r="H51" s="22"/>
      <c r="I51" s="22"/>
      <c r="J51" s="99"/>
      <c r="K51" s="117"/>
      <c r="L51" s="117"/>
      <c r="M51" s="117"/>
    </row>
    <row r="52" spans="1:13" ht="12.75">
      <c r="A52" s="4"/>
      <c r="B52" s="57" t="s">
        <v>717</v>
      </c>
      <c r="C52" s="35"/>
      <c r="D52" s="35"/>
      <c r="E52" s="35"/>
      <c r="F52" s="35"/>
      <c r="G52" s="34" t="s">
        <v>41</v>
      </c>
      <c r="H52" s="22"/>
      <c r="I52" s="22"/>
      <c r="J52" s="99"/>
      <c r="K52" s="117"/>
      <c r="L52" s="117"/>
      <c r="M52" s="117"/>
    </row>
    <row r="53" spans="1:13" ht="12.75">
      <c r="A53" s="4"/>
      <c r="B53" s="57" t="s">
        <v>718</v>
      </c>
      <c r="C53" s="35"/>
      <c r="D53" s="35"/>
      <c r="E53" s="35"/>
      <c r="F53" s="35"/>
      <c r="G53" s="34" t="s">
        <v>41</v>
      </c>
      <c r="H53" s="22"/>
      <c r="I53" s="22"/>
      <c r="J53" s="99"/>
      <c r="K53" s="117"/>
      <c r="L53" s="117"/>
      <c r="M53" s="117"/>
    </row>
    <row r="54" spans="2:13" ht="14.25" customHeight="1">
      <c r="B54" s="10"/>
      <c r="C54" s="10"/>
      <c r="D54" s="10"/>
      <c r="E54" s="10"/>
      <c r="F54" s="10"/>
      <c r="G54" s="10"/>
      <c r="H54" s="10"/>
      <c r="I54" s="29"/>
      <c r="J54" s="29"/>
      <c r="K54" s="117"/>
      <c r="L54" s="117"/>
      <c r="M54" s="117"/>
    </row>
    <row r="55" spans="1:13" ht="12.75">
      <c r="A55" s="4"/>
      <c r="B55" s="30" t="s">
        <v>719</v>
      </c>
      <c r="C55" s="19" t="s">
        <v>28</v>
      </c>
      <c r="D55" s="19"/>
      <c r="E55" s="19"/>
      <c r="F55" s="19"/>
      <c r="G55" s="31" t="s">
        <v>29</v>
      </c>
      <c r="H55" s="31"/>
      <c r="I55" s="32"/>
      <c r="J55" s="13"/>
      <c r="K55" s="117"/>
      <c r="L55" s="117"/>
      <c r="M55" s="117"/>
    </row>
    <row r="56" spans="1:13" ht="12.75">
      <c r="A56" s="4"/>
      <c r="B56" s="33" t="s">
        <v>32</v>
      </c>
      <c r="C56" s="23"/>
      <c r="D56" s="23" t="s">
        <v>33</v>
      </c>
      <c r="E56" s="23" t="s">
        <v>34</v>
      </c>
      <c r="F56" s="23" t="s">
        <v>35</v>
      </c>
      <c r="G56" s="33" t="s">
        <v>36</v>
      </c>
      <c r="H56" s="33" t="s">
        <v>37</v>
      </c>
      <c r="I56" s="33" t="s">
        <v>38</v>
      </c>
      <c r="J56" s="99" t="s">
        <v>39</v>
      </c>
      <c r="K56" s="117"/>
      <c r="L56" s="117"/>
      <c r="M56" s="117"/>
    </row>
    <row r="57" spans="1:13" ht="12.75">
      <c r="A57" s="4"/>
      <c r="B57" s="57" t="s">
        <v>84</v>
      </c>
      <c r="C57" s="35"/>
      <c r="D57" s="35"/>
      <c r="E57" s="35"/>
      <c r="F57" s="35"/>
      <c r="G57" s="34" t="s">
        <v>41</v>
      </c>
      <c r="H57" s="22"/>
      <c r="I57" s="22"/>
      <c r="J57" s="99"/>
      <c r="K57" s="117"/>
      <c r="L57" s="118">
        <v>2</v>
      </c>
      <c r="M57" s="117"/>
    </row>
    <row r="58" spans="1:13" ht="12.75">
      <c r="A58" s="4"/>
      <c r="B58" s="57" t="s">
        <v>85</v>
      </c>
      <c r="C58" s="35"/>
      <c r="D58" s="35"/>
      <c r="E58" s="35"/>
      <c r="F58" s="35"/>
      <c r="G58" s="34" t="s">
        <v>41</v>
      </c>
      <c r="H58" s="22"/>
      <c r="I58" s="22"/>
      <c r="J58" s="99"/>
      <c r="K58" s="117"/>
      <c r="L58" s="118" t="s">
        <v>86</v>
      </c>
      <c r="M58" s="117"/>
    </row>
    <row r="59" spans="1:13" ht="12.75">
      <c r="A59" s="4"/>
      <c r="B59" s="57" t="s">
        <v>87</v>
      </c>
      <c r="C59" s="35"/>
      <c r="D59" s="35"/>
      <c r="E59" s="35"/>
      <c r="F59" s="35"/>
      <c r="G59" s="34" t="s">
        <v>41</v>
      </c>
      <c r="H59" s="22"/>
      <c r="I59" s="22"/>
      <c r="J59" s="99"/>
      <c r="K59" s="117"/>
      <c r="L59" s="118" t="s">
        <v>88</v>
      </c>
      <c r="M59" s="117"/>
    </row>
    <row r="60" spans="1:13" ht="12.75">
      <c r="A60" s="4"/>
      <c r="B60" s="57" t="s">
        <v>89</v>
      </c>
      <c r="C60" s="35"/>
      <c r="D60" s="35"/>
      <c r="E60" s="35"/>
      <c r="F60" s="35"/>
      <c r="G60" s="34" t="s">
        <v>41</v>
      </c>
      <c r="H60" s="22"/>
      <c r="I60" s="22"/>
      <c r="J60" s="99"/>
      <c r="K60" s="117"/>
      <c r="L60" s="118" t="s">
        <v>90</v>
      </c>
      <c r="M60" s="117"/>
    </row>
    <row r="61" spans="1:13" ht="12.75">
      <c r="A61" s="4"/>
      <c r="B61" s="57" t="s">
        <v>91</v>
      </c>
      <c r="C61" s="35"/>
      <c r="D61" s="35"/>
      <c r="E61" s="35"/>
      <c r="F61" s="35"/>
      <c r="G61" s="34" t="s">
        <v>41</v>
      </c>
      <c r="H61" s="22"/>
      <c r="I61" s="22"/>
      <c r="J61" s="99"/>
      <c r="K61" s="117"/>
      <c r="L61" s="118" t="s">
        <v>92</v>
      </c>
      <c r="M61" s="117"/>
    </row>
    <row r="62" spans="1:13" ht="12.75">
      <c r="A62" s="4"/>
      <c r="B62" s="57" t="s">
        <v>93</v>
      </c>
      <c r="C62" s="35"/>
      <c r="D62" s="35"/>
      <c r="E62" s="35"/>
      <c r="F62" s="35"/>
      <c r="G62" s="34" t="s">
        <v>41</v>
      </c>
      <c r="H62" s="22"/>
      <c r="I62" s="22" t="s">
        <v>94</v>
      </c>
      <c r="J62" s="99"/>
      <c r="K62" s="117"/>
      <c r="L62" s="118">
        <v>8045</v>
      </c>
      <c r="M62" s="117"/>
    </row>
    <row r="63" spans="1:13" ht="12.75">
      <c r="A63" s="4"/>
      <c r="B63" s="67" t="s">
        <v>95</v>
      </c>
      <c r="C63" s="68"/>
      <c r="D63" s="68"/>
      <c r="E63" s="68"/>
      <c r="F63" s="68"/>
      <c r="G63" s="68"/>
      <c r="H63" s="7" t="s">
        <v>43</v>
      </c>
      <c r="I63" s="7"/>
      <c r="J63" s="108"/>
      <c r="K63" s="117"/>
      <c r="L63" s="118"/>
      <c r="M63" s="117"/>
    </row>
    <row r="64" spans="1:13" ht="27" customHeight="1">
      <c r="A64" s="4"/>
      <c r="B64" s="57" t="s">
        <v>96</v>
      </c>
      <c r="C64" s="34"/>
      <c r="D64" s="35"/>
      <c r="E64" s="35"/>
      <c r="F64" s="35"/>
      <c r="G64" s="34" t="s">
        <v>41</v>
      </c>
      <c r="H64" s="22"/>
      <c r="I64" s="18" t="s">
        <v>97</v>
      </c>
      <c r="J64" s="99"/>
      <c r="K64" s="117"/>
      <c r="L64" s="118" t="s">
        <v>98</v>
      </c>
      <c r="M64" s="117"/>
    </row>
    <row r="65" spans="1:13" ht="12.75">
      <c r="A65" s="4"/>
      <c r="B65" s="67" t="s">
        <v>99</v>
      </c>
      <c r="C65" s="68"/>
      <c r="D65" s="68"/>
      <c r="E65" s="68"/>
      <c r="F65" s="68"/>
      <c r="G65" s="68"/>
      <c r="H65" s="7" t="s">
        <v>43</v>
      </c>
      <c r="I65" s="7"/>
      <c r="J65" s="108"/>
      <c r="K65" s="117"/>
      <c r="L65" s="118"/>
      <c r="M65" s="117"/>
    </row>
    <row r="66" spans="1:13" ht="12.75">
      <c r="A66" s="4"/>
      <c r="B66" s="57" t="s">
        <v>100</v>
      </c>
      <c r="C66" s="34"/>
      <c r="D66" s="35"/>
      <c r="E66" s="35"/>
      <c r="F66" s="35"/>
      <c r="G66" s="34" t="s">
        <v>41</v>
      </c>
      <c r="H66" s="22"/>
      <c r="I66" s="22"/>
      <c r="J66" s="99"/>
      <c r="K66" s="117"/>
      <c r="L66" s="118" t="s">
        <v>101</v>
      </c>
      <c r="M66" s="117"/>
    </row>
    <row r="67" spans="1:13" ht="12.75">
      <c r="A67" s="4"/>
      <c r="B67" s="57" t="s">
        <v>102</v>
      </c>
      <c r="C67" s="34"/>
      <c r="D67" s="35"/>
      <c r="E67" s="35"/>
      <c r="F67" s="35"/>
      <c r="G67" s="34" t="s">
        <v>41</v>
      </c>
      <c r="H67" s="22"/>
      <c r="I67" s="22"/>
      <c r="J67" s="99"/>
      <c r="K67" s="117"/>
      <c r="L67" s="118" t="s">
        <v>103</v>
      </c>
      <c r="M67" s="117"/>
    </row>
    <row r="68" spans="1:13" ht="12.75">
      <c r="A68" s="4"/>
      <c r="B68" s="57" t="s">
        <v>242</v>
      </c>
      <c r="C68" s="34"/>
      <c r="D68" s="35"/>
      <c r="E68" s="35"/>
      <c r="F68" s="35"/>
      <c r="G68" s="34" t="s">
        <v>41</v>
      </c>
      <c r="H68" s="22"/>
      <c r="I68" s="59">
        <f>HYPERLINK("MultimediaRecord!MM_installation_TimeSpan","TimeSpan")</f>
        <v>0</v>
      </c>
      <c r="J68" s="99"/>
      <c r="K68" s="117"/>
      <c r="L68" s="118" t="s">
        <v>189</v>
      </c>
      <c r="M68" s="117"/>
    </row>
    <row r="69" spans="2:13" ht="14.25" customHeight="1">
      <c r="B69" s="10"/>
      <c r="C69" s="10"/>
      <c r="D69" s="10"/>
      <c r="E69" s="10"/>
      <c r="F69" s="10"/>
      <c r="G69" s="10"/>
      <c r="H69" s="10"/>
      <c r="I69" s="29"/>
      <c r="J69" s="29"/>
      <c r="K69" s="117"/>
      <c r="L69" s="118"/>
      <c r="M69" s="117"/>
    </row>
    <row r="70" spans="1:13" ht="12.75">
      <c r="A70" s="4"/>
      <c r="B70" s="30" t="s">
        <v>231</v>
      </c>
      <c r="C70" s="19" t="s">
        <v>28</v>
      </c>
      <c r="D70" s="19"/>
      <c r="E70" s="19"/>
      <c r="F70" s="19"/>
      <c r="G70" s="31" t="s">
        <v>29</v>
      </c>
      <c r="H70" s="31"/>
      <c r="I70" s="32"/>
      <c r="J70" s="13"/>
      <c r="K70" s="117"/>
      <c r="L70" s="118"/>
      <c r="M70" s="117"/>
    </row>
    <row r="71" spans="1:13" ht="12.75">
      <c r="A71" s="4"/>
      <c r="B71" s="33" t="s">
        <v>32</v>
      </c>
      <c r="C71" s="23"/>
      <c r="D71" s="23" t="s">
        <v>33</v>
      </c>
      <c r="E71" s="23" t="s">
        <v>34</v>
      </c>
      <c r="F71" s="23" t="s">
        <v>35</v>
      </c>
      <c r="G71" s="33" t="s">
        <v>36</v>
      </c>
      <c r="H71" s="33" t="s">
        <v>37</v>
      </c>
      <c r="I71" s="33" t="s">
        <v>38</v>
      </c>
      <c r="J71" s="99" t="s">
        <v>39</v>
      </c>
      <c r="K71" s="117"/>
      <c r="L71" s="118"/>
      <c r="M71" s="117"/>
    </row>
    <row r="72" spans="1:13" ht="28.5" customHeight="1">
      <c r="A72" s="4"/>
      <c r="B72" s="57" t="s">
        <v>106</v>
      </c>
      <c r="C72" s="25"/>
      <c r="D72" s="25"/>
      <c r="E72" s="25"/>
      <c r="F72" s="25"/>
      <c r="G72" s="24" t="s">
        <v>41</v>
      </c>
      <c r="H72" s="24"/>
      <c r="I72" s="24" t="s">
        <v>244</v>
      </c>
      <c r="J72" s="101"/>
      <c r="K72" s="117"/>
      <c r="L72" s="118" t="s">
        <v>107</v>
      </c>
      <c r="M72" s="117"/>
    </row>
    <row r="73" spans="1:13" ht="28.5" customHeight="1">
      <c r="A73" s="4"/>
      <c r="B73" s="57" t="s">
        <v>108</v>
      </c>
      <c r="C73" s="25"/>
      <c r="D73" s="25"/>
      <c r="E73" s="25"/>
      <c r="F73" s="25"/>
      <c r="G73" s="24" t="s">
        <v>41</v>
      </c>
      <c r="H73" s="24"/>
      <c r="I73" s="24" t="s">
        <v>246</v>
      </c>
      <c r="J73" s="101"/>
      <c r="K73" s="117"/>
      <c r="L73" s="118" t="s">
        <v>86</v>
      </c>
      <c r="M73" s="117"/>
    </row>
    <row r="74" spans="1:13" ht="13.5">
      <c r="A74" s="4"/>
      <c r="B74" s="67" t="s">
        <v>109</v>
      </c>
      <c r="C74" s="26"/>
      <c r="D74" s="26"/>
      <c r="E74" s="26"/>
      <c r="F74" s="26"/>
      <c r="G74" s="26"/>
      <c r="H74" s="26" t="s">
        <v>43</v>
      </c>
      <c r="I74" s="26"/>
      <c r="J74" s="102"/>
      <c r="K74" s="117"/>
      <c r="L74" s="117"/>
      <c r="M74" s="117"/>
    </row>
    <row r="75" spans="2:13" ht="14.25" customHeight="1">
      <c r="B75" s="10"/>
      <c r="C75" s="10"/>
      <c r="D75" s="10"/>
      <c r="E75" s="10"/>
      <c r="F75" s="10"/>
      <c r="G75" s="10"/>
      <c r="H75" s="10"/>
      <c r="I75" s="29"/>
      <c r="J75" s="29"/>
      <c r="K75" s="117"/>
      <c r="L75" s="117"/>
      <c r="M75" s="117"/>
    </row>
    <row r="76" spans="1:13" ht="12.75">
      <c r="A76" s="4"/>
      <c r="B76" s="30" t="s">
        <v>247</v>
      </c>
      <c r="C76" s="19" t="s">
        <v>28</v>
      </c>
      <c r="D76" s="19"/>
      <c r="E76" s="19"/>
      <c r="F76" s="19"/>
      <c r="G76" s="31" t="s">
        <v>29</v>
      </c>
      <c r="H76" s="31"/>
      <c r="I76" s="32"/>
      <c r="J76" s="13"/>
      <c r="K76" s="117"/>
      <c r="L76" s="117"/>
      <c r="M76" s="117"/>
    </row>
    <row r="77" spans="1:13" ht="12.75">
      <c r="A77" s="4"/>
      <c r="B77" s="33" t="s">
        <v>32</v>
      </c>
      <c r="C77" s="23"/>
      <c r="D77" s="23" t="s">
        <v>33</v>
      </c>
      <c r="E77" s="23" t="s">
        <v>34</v>
      </c>
      <c r="F77" s="23" t="s">
        <v>35</v>
      </c>
      <c r="G77" s="33" t="s">
        <v>36</v>
      </c>
      <c r="H77" s="33" t="s">
        <v>37</v>
      </c>
      <c r="I77" s="33" t="s">
        <v>38</v>
      </c>
      <c r="J77" s="99" t="s">
        <v>39</v>
      </c>
      <c r="K77" s="117"/>
      <c r="L77" s="117"/>
      <c r="M77" s="117"/>
    </row>
    <row r="78" spans="1:13" ht="12.75">
      <c r="A78" s="4"/>
      <c r="B78" s="57" t="s">
        <v>248</v>
      </c>
      <c r="C78" s="35"/>
      <c r="D78" s="35"/>
      <c r="E78" s="35"/>
      <c r="F78" s="35"/>
      <c r="G78" s="34" t="s">
        <v>41</v>
      </c>
      <c r="H78" s="22"/>
      <c r="I78" s="59">
        <f>HYPERLINK("MultimediaRecord!MM_BillingMethod","BillingMethod")</f>
        <v>0</v>
      </c>
      <c r="J78" s="99"/>
      <c r="K78" s="117"/>
      <c r="L78" s="117" t="s">
        <v>249</v>
      </c>
      <c r="M78" s="117"/>
    </row>
    <row r="79" spans="1:13" ht="12.75">
      <c r="A79" s="4"/>
      <c r="B79" s="57" t="s">
        <v>250</v>
      </c>
      <c r="C79" s="35"/>
      <c r="D79" s="35"/>
      <c r="E79" s="35"/>
      <c r="F79" s="35"/>
      <c r="G79" s="34" t="s">
        <v>41</v>
      </c>
      <c r="H79" s="22"/>
      <c r="I79" s="59">
        <f>HYPERLINK("MultimediaRecord!MM_BankAccount","BankAccount")</f>
        <v>0</v>
      </c>
      <c r="J79" s="99"/>
      <c r="K79" s="117"/>
      <c r="L79" s="117" t="s">
        <v>251</v>
      </c>
      <c r="M79" s="117"/>
    </row>
    <row r="80" spans="1:13" ht="12.75">
      <c r="A80" s="4"/>
      <c r="B80" s="57" t="s">
        <v>252</v>
      </c>
      <c r="C80" s="35"/>
      <c r="D80" s="35"/>
      <c r="E80" s="35"/>
      <c r="F80" s="35"/>
      <c r="G80" s="34" t="s">
        <v>41</v>
      </c>
      <c r="H80" s="22"/>
      <c r="I80" s="59">
        <f>HYPERLINK("MultimediaRecord!MM_ContactDetails","ContactDetails")</f>
        <v>0</v>
      </c>
      <c r="J80" s="99"/>
      <c r="K80" s="117"/>
      <c r="L80" s="117" t="s">
        <v>113</v>
      </c>
      <c r="M80" s="117"/>
    </row>
    <row r="81" spans="2:13" ht="14.25" customHeight="1">
      <c r="B81" s="10"/>
      <c r="C81" s="10"/>
      <c r="D81" s="10"/>
      <c r="E81" s="10"/>
      <c r="F81" s="10"/>
      <c r="G81" s="10"/>
      <c r="H81" s="10"/>
      <c r="I81" s="29"/>
      <c r="J81" s="29"/>
      <c r="K81" s="117"/>
      <c r="L81" s="117"/>
      <c r="M81" s="117"/>
    </row>
    <row r="82" spans="1:13" ht="12.75">
      <c r="A82" s="4"/>
      <c r="B82" s="30" t="s">
        <v>253</v>
      </c>
      <c r="C82" s="19" t="s">
        <v>28</v>
      </c>
      <c r="D82" s="19"/>
      <c r="E82" s="19"/>
      <c r="F82" s="19"/>
      <c r="G82" s="31" t="s">
        <v>29</v>
      </c>
      <c r="H82" s="31"/>
      <c r="I82" s="32"/>
      <c r="J82" s="13"/>
      <c r="K82" s="117"/>
      <c r="L82" s="117"/>
      <c r="M82" s="117"/>
    </row>
    <row r="83" spans="1:13" ht="12.75">
      <c r="A83" s="4"/>
      <c r="B83" s="33" t="s">
        <v>32</v>
      </c>
      <c r="C83" s="23"/>
      <c r="D83" s="23" t="s">
        <v>33</v>
      </c>
      <c r="E83" s="23" t="s">
        <v>34</v>
      </c>
      <c r="F83" s="23" t="s">
        <v>35</v>
      </c>
      <c r="G83" s="33" t="s">
        <v>36</v>
      </c>
      <c r="H83" s="33" t="s">
        <v>37</v>
      </c>
      <c r="I83" s="33" t="s">
        <v>38</v>
      </c>
      <c r="J83" s="99" t="s">
        <v>39</v>
      </c>
      <c r="K83" s="117"/>
      <c r="L83" s="117"/>
      <c r="M83" s="117"/>
    </row>
    <row r="84" spans="1:13" ht="12.75">
      <c r="A84" s="4"/>
      <c r="B84" s="57" t="s">
        <v>254</v>
      </c>
      <c r="C84" s="35"/>
      <c r="D84" s="35"/>
      <c r="E84" s="35"/>
      <c r="F84" s="35"/>
      <c r="G84" s="34" t="s">
        <v>41</v>
      </c>
      <c r="H84" s="22"/>
      <c r="I84" s="22"/>
      <c r="J84" s="99"/>
      <c r="K84" s="117"/>
      <c r="L84" s="117"/>
      <c r="M84" s="117"/>
    </row>
    <row r="85" spans="1:13" ht="12.75">
      <c r="A85" s="4"/>
      <c r="B85" s="57" t="s">
        <v>255</v>
      </c>
      <c r="C85" s="35"/>
      <c r="D85" s="35"/>
      <c r="E85" s="35"/>
      <c r="F85" s="35"/>
      <c r="G85" s="34" t="s">
        <v>41</v>
      </c>
      <c r="H85" s="22"/>
      <c r="I85" s="22"/>
      <c r="J85" s="99"/>
      <c r="K85" s="117"/>
      <c r="L85" s="117" t="s">
        <v>574</v>
      </c>
      <c r="M85" s="117"/>
    </row>
    <row r="86" spans="1:13" ht="12.75">
      <c r="A86" s="4"/>
      <c r="B86" s="57" t="s">
        <v>256</v>
      </c>
      <c r="C86" s="35"/>
      <c r="D86" s="35"/>
      <c r="E86" s="35"/>
      <c r="F86" s="35"/>
      <c r="G86" s="34" t="s">
        <v>41</v>
      </c>
      <c r="H86" s="22"/>
      <c r="I86" s="22"/>
      <c r="J86" s="99"/>
      <c r="K86" s="117"/>
      <c r="L86" s="117"/>
      <c r="M86" s="117"/>
    </row>
    <row r="87" spans="2:13" ht="14.25" customHeight="1">
      <c r="B87" s="10"/>
      <c r="C87" s="10"/>
      <c r="D87" s="10"/>
      <c r="E87" s="10"/>
      <c r="F87" s="10"/>
      <c r="G87" s="10"/>
      <c r="H87" s="10"/>
      <c r="I87" s="29"/>
      <c r="J87" s="29"/>
      <c r="K87" s="117"/>
      <c r="L87" s="117"/>
      <c r="M87" s="117"/>
    </row>
    <row r="88" spans="1:13" ht="12.75">
      <c r="A88" s="4"/>
      <c r="B88" s="30" t="s">
        <v>258</v>
      </c>
      <c r="C88" s="19" t="s">
        <v>28</v>
      </c>
      <c r="D88" s="19"/>
      <c r="E88" s="19"/>
      <c r="F88" s="19"/>
      <c r="G88" s="31" t="s">
        <v>29</v>
      </c>
      <c r="H88" s="31"/>
      <c r="I88" s="32"/>
      <c r="J88" s="13"/>
      <c r="K88" s="117"/>
      <c r="L88" s="117"/>
      <c r="M88" s="117"/>
    </row>
    <row r="89" spans="1:13" ht="12.75">
      <c r="A89" s="4"/>
      <c r="B89" s="33" t="s">
        <v>32</v>
      </c>
      <c r="C89" s="23"/>
      <c r="D89" s="23" t="s">
        <v>33</v>
      </c>
      <c r="E89" s="23" t="s">
        <v>34</v>
      </c>
      <c r="F89" s="23" t="s">
        <v>35</v>
      </c>
      <c r="G89" s="33" t="s">
        <v>36</v>
      </c>
      <c r="H89" s="33" t="s">
        <v>37</v>
      </c>
      <c r="I89" s="33" t="s">
        <v>38</v>
      </c>
      <c r="J89" s="99" t="s">
        <v>39</v>
      </c>
      <c r="K89" s="117"/>
      <c r="L89" s="117"/>
      <c r="M89" s="117"/>
    </row>
    <row r="90" spans="1:13" ht="57" customHeight="1">
      <c r="A90" s="4"/>
      <c r="B90" s="57" t="s">
        <v>259</v>
      </c>
      <c r="C90" s="35"/>
      <c r="D90" s="35"/>
      <c r="E90" s="35"/>
      <c r="F90" s="35"/>
      <c r="G90" s="34" t="s">
        <v>41</v>
      </c>
      <c r="H90" s="22"/>
      <c r="I90" s="24" t="s">
        <v>260</v>
      </c>
      <c r="J90" s="101"/>
      <c r="K90" s="117"/>
      <c r="L90" s="117" t="s">
        <v>575</v>
      </c>
      <c r="M90" s="117"/>
    </row>
    <row r="91" spans="1:13" ht="42.75" customHeight="1">
      <c r="A91" s="4"/>
      <c r="B91" s="57" t="s">
        <v>262</v>
      </c>
      <c r="C91" s="35"/>
      <c r="D91" s="35"/>
      <c r="E91" s="35"/>
      <c r="F91" s="35"/>
      <c r="G91" s="34" t="s">
        <v>263</v>
      </c>
      <c r="H91" s="22"/>
      <c r="I91" s="24" t="s">
        <v>264</v>
      </c>
      <c r="J91" s="101"/>
      <c r="K91" s="117"/>
      <c r="L91" s="117" t="s">
        <v>576</v>
      </c>
      <c r="M91" s="117"/>
    </row>
    <row r="92" spans="1:13" ht="13.5">
      <c r="A92" s="4"/>
      <c r="B92" s="57" t="s">
        <v>265</v>
      </c>
      <c r="C92" s="35"/>
      <c r="D92" s="35"/>
      <c r="E92" s="35"/>
      <c r="F92" s="35"/>
      <c r="G92" s="34" t="s">
        <v>41</v>
      </c>
      <c r="H92" s="22"/>
      <c r="I92" s="24" t="s">
        <v>123</v>
      </c>
      <c r="J92" s="101"/>
      <c r="K92" s="117"/>
      <c r="L92" s="117" t="s">
        <v>66</v>
      </c>
      <c r="M92" s="117"/>
    </row>
    <row r="93" spans="1:13" ht="42.75" customHeight="1">
      <c r="A93" s="4"/>
      <c r="B93" s="57" t="s">
        <v>266</v>
      </c>
      <c r="C93" s="35"/>
      <c r="D93" s="35"/>
      <c r="E93" s="35"/>
      <c r="F93" s="35"/>
      <c r="G93" s="34" t="s">
        <v>41</v>
      </c>
      <c r="H93" s="22"/>
      <c r="I93" s="24" t="s">
        <v>267</v>
      </c>
      <c r="J93" s="101"/>
      <c r="K93" s="117"/>
      <c r="L93" s="117" t="s">
        <v>86</v>
      </c>
      <c r="M93" s="117"/>
    </row>
    <row r="94" spans="1:13" ht="39">
      <c r="A94" s="4"/>
      <c r="B94" s="57" t="s">
        <v>268</v>
      </c>
      <c r="C94" s="35"/>
      <c r="D94" s="35"/>
      <c r="E94" s="35"/>
      <c r="F94" s="35"/>
      <c r="G94" s="34" t="s">
        <v>41</v>
      </c>
      <c r="H94" s="22"/>
      <c r="I94" s="24" t="s">
        <v>269</v>
      </c>
      <c r="J94" s="101"/>
      <c r="K94" s="117"/>
      <c r="L94" s="117" t="s">
        <v>86</v>
      </c>
      <c r="M94" s="117"/>
    </row>
    <row r="95" spans="1:13" ht="13.5">
      <c r="A95" s="4"/>
      <c r="B95" s="57" t="s">
        <v>270</v>
      </c>
      <c r="C95" s="35"/>
      <c r="D95" s="35"/>
      <c r="E95" s="35"/>
      <c r="F95" s="35"/>
      <c r="G95" s="34" t="s">
        <v>41</v>
      </c>
      <c r="H95" s="22"/>
      <c r="I95" s="24" t="s">
        <v>123</v>
      </c>
      <c r="J95" s="101"/>
      <c r="K95" s="117"/>
      <c r="L95" s="117" t="s">
        <v>577</v>
      </c>
      <c r="M95" s="117"/>
    </row>
    <row r="96" spans="2:13" ht="14.25" customHeight="1">
      <c r="B96" s="10"/>
      <c r="C96" s="10"/>
      <c r="D96" s="10"/>
      <c r="E96" s="10"/>
      <c r="F96" s="10"/>
      <c r="G96" s="10"/>
      <c r="H96" s="10"/>
      <c r="I96" s="29"/>
      <c r="J96" s="29"/>
      <c r="K96" s="117"/>
      <c r="L96" s="117"/>
      <c r="M96" s="117"/>
    </row>
    <row r="97" spans="1:13" ht="23.25">
      <c r="A97" s="4"/>
      <c r="B97" s="30" t="s">
        <v>720</v>
      </c>
      <c r="C97" s="19" t="s">
        <v>28</v>
      </c>
      <c r="D97" s="19"/>
      <c r="E97" s="19"/>
      <c r="F97" s="19"/>
      <c r="G97" s="31" t="s">
        <v>29</v>
      </c>
      <c r="H97" s="31"/>
      <c r="I97" s="32"/>
      <c r="J97" s="13"/>
      <c r="K97" s="117"/>
      <c r="L97" s="117"/>
      <c r="M97" s="117"/>
    </row>
    <row r="98" spans="1:13" ht="12.75">
      <c r="A98" s="4"/>
      <c r="B98" s="33" t="s">
        <v>32</v>
      </c>
      <c r="C98" s="23"/>
      <c r="D98" s="23" t="s">
        <v>33</v>
      </c>
      <c r="E98" s="23" t="s">
        <v>34</v>
      </c>
      <c r="F98" s="23" t="s">
        <v>35</v>
      </c>
      <c r="G98" s="33" t="s">
        <v>36</v>
      </c>
      <c r="H98" s="33" t="s">
        <v>37</v>
      </c>
      <c r="I98" s="33" t="s">
        <v>38</v>
      </c>
      <c r="J98" s="99" t="s">
        <v>39</v>
      </c>
      <c r="K98" s="117"/>
      <c r="L98" s="117"/>
      <c r="M98" s="117"/>
    </row>
    <row r="99" spans="1:13" ht="12.75">
      <c r="A99" s="4"/>
      <c r="B99" s="63" t="s">
        <v>74</v>
      </c>
      <c r="C99" s="23"/>
      <c r="D99" s="23"/>
      <c r="E99" s="23"/>
      <c r="F99" s="23"/>
      <c r="G99" s="22" t="s">
        <v>41</v>
      </c>
      <c r="H99" s="22"/>
      <c r="I99" s="59">
        <f>HYPERLINK("MultimediaRecord!MM_AddressInformation","AddressInformation")</f>
        <v>0</v>
      </c>
      <c r="J99" s="99"/>
      <c r="K99" s="117"/>
      <c r="L99" s="117" t="s">
        <v>419</v>
      </c>
      <c r="M99" s="117"/>
    </row>
    <row r="100" spans="1:13" ht="12.75">
      <c r="A100" s="4"/>
      <c r="B100" s="57" t="s">
        <v>76</v>
      </c>
      <c r="C100" s="35"/>
      <c r="D100" s="35"/>
      <c r="E100" s="35"/>
      <c r="F100" s="35"/>
      <c r="G100" s="34" t="s">
        <v>41</v>
      </c>
      <c r="H100" s="22"/>
      <c r="I100" s="22"/>
      <c r="J100" s="99"/>
      <c r="K100" s="117"/>
      <c r="L100" s="117" t="s">
        <v>578</v>
      </c>
      <c r="M100" s="117"/>
    </row>
    <row r="101" spans="1:13" ht="26.25">
      <c r="A101" s="4"/>
      <c r="B101" s="57" t="s">
        <v>78</v>
      </c>
      <c r="C101" s="35"/>
      <c r="D101" s="35"/>
      <c r="E101" s="35"/>
      <c r="F101" s="35"/>
      <c r="G101" s="34" t="s">
        <v>41</v>
      </c>
      <c r="H101" s="22"/>
      <c r="I101" s="24" t="s">
        <v>79</v>
      </c>
      <c r="J101" s="99"/>
      <c r="K101" s="117"/>
      <c r="L101" s="118">
        <v>41712985849</v>
      </c>
      <c r="M101" s="117"/>
    </row>
    <row r="102" spans="1:13" ht="26.25">
      <c r="A102" s="4"/>
      <c r="B102" s="57" t="s">
        <v>80</v>
      </c>
      <c r="C102" s="35"/>
      <c r="D102" s="35"/>
      <c r="E102" s="35"/>
      <c r="F102" s="35"/>
      <c r="G102" s="34" t="s">
        <v>41</v>
      </c>
      <c r="H102" s="22"/>
      <c r="I102" s="24" t="s">
        <v>81</v>
      </c>
      <c r="J102" s="99"/>
      <c r="K102" s="117"/>
      <c r="L102" s="117" t="s">
        <v>86</v>
      </c>
      <c r="M102" s="117"/>
    </row>
    <row r="103" spans="2:13" ht="14.25" customHeight="1">
      <c r="B103" s="10"/>
      <c r="C103" s="10"/>
      <c r="D103" s="10"/>
      <c r="E103" s="10"/>
      <c r="F103" s="10"/>
      <c r="G103" s="10"/>
      <c r="H103" s="10"/>
      <c r="I103" s="29"/>
      <c r="J103" s="29"/>
      <c r="K103" s="117"/>
      <c r="L103" s="117"/>
      <c r="M103" s="117"/>
    </row>
    <row r="104" spans="1:13" ht="12.75">
      <c r="A104" s="4"/>
      <c r="B104" s="30" t="s">
        <v>83</v>
      </c>
      <c r="C104" s="19" t="s">
        <v>28</v>
      </c>
      <c r="D104" s="19"/>
      <c r="E104" s="19"/>
      <c r="F104" s="19"/>
      <c r="G104" s="31" t="s">
        <v>29</v>
      </c>
      <c r="H104" s="31"/>
      <c r="I104" s="32"/>
      <c r="J104" s="13"/>
      <c r="K104" s="117"/>
      <c r="L104" s="117"/>
      <c r="M104" s="117"/>
    </row>
    <row r="105" spans="1:13" ht="12.75">
      <c r="A105" s="4"/>
      <c r="B105" s="33" t="s">
        <v>32</v>
      </c>
      <c r="C105" s="23"/>
      <c r="D105" s="23" t="s">
        <v>33</v>
      </c>
      <c r="E105" s="23" t="s">
        <v>34</v>
      </c>
      <c r="F105" s="23" t="s">
        <v>35</v>
      </c>
      <c r="G105" s="33" t="s">
        <v>36</v>
      </c>
      <c r="H105" s="33" t="s">
        <v>37</v>
      </c>
      <c r="I105" s="33" t="s">
        <v>38</v>
      </c>
      <c r="J105" s="99" t="s">
        <v>39</v>
      </c>
      <c r="K105" s="117"/>
      <c r="L105" s="117"/>
      <c r="M105" s="117"/>
    </row>
    <row r="106" spans="1:13" ht="12.75">
      <c r="A106" s="4"/>
      <c r="B106" s="57" t="s">
        <v>84</v>
      </c>
      <c r="C106" s="35"/>
      <c r="D106" s="35"/>
      <c r="E106" s="35"/>
      <c r="F106" s="35"/>
      <c r="G106" s="34" t="s">
        <v>41</v>
      </c>
      <c r="H106" s="22"/>
      <c r="I106" s="22"/>
      <c r="J106" s="99"/>
      <c r="K106" s="117"/>
      <c r="L106" s="118">
        <v>2</v>
      </c>
      <c r="M106" s="117"/>
    </row>
    <row r="107" spans="1:13" ht="12.75">
      <c r="A107" s="4"/>
      <c r="B107" s="57" t="s">
        <v>85</v>
      </c>
      <c r="C107" s="35"/>
      <c r="D107" s="35"/>
      <c r="E107" s="35"/>
      <c r="F107" s="35"/>
      <c r="G107" s="34" t="s">
        <v>41</v>
      </c>
      <c r="H107" s="22"/>
      <c r="I107" s="22"/>
      <c r="J107" s="99"/>
      <c r="K107" s="117"/>
      <c r="L107" s="117" t="s">
        <v>86</v>
      </c>
      <c r="M107" s="117"/>
    </row>
    <row r="108" spans="1:13" ht="12.75">
      <c r="A108" s="4"/>
      <c r="B108" s="57" t="s">
        <v>87</v>
      </c>
      <c r="C108" s="35"/>
      <c r="D108" s="35"/>
      <c r="E108" s="35"/>
      <c r="F108" s="35"/>
      <c r="G108" s="34" t="s">
        <v>41</v>
      </c>
      <c r="H108" s="22"/>
      <c r="I108" s="22"/>
      <c r="J108" s="99"/>
      <c r="K108" s="117"/>
      <c r="L108" s="117" t="s">
        <v>88</v>
      </c>
      <c r="M108" s="117"/>
    </row>
    <row r="109" spans="1:13" ht="12.75">
      <c r="A109" s="4"/>
      <c r="B109" s="57" t="s">
        <v>89</v>
      </c>
      <c r="C109" s="35"/>
      <c r="D109" s="35"/>
      <c r="E109" s="35"/>
      <c r="F109" s="35"/>
      <c r="G109" s="34" t="s">
        <v>41</v>
      </c>
      <c r="H109" s="22"/>
      <c r="I109" s="22"/>
      <c r="J109" s="99"/>
      <c r="K109" s="117"/>
      <c r="L109" s="117" t="s">
        <v>90</v>
      </c>
      <c r="M109" s="117"/>
    </row>
    <row r="110" spans="1:13" ht="12.75">
      <c r="A110" s="4"/>
      <c r="B110" s="57" t="s">
        <v>91</v>
      </c>
      <c r="C110" s="35"/>
      <c r="D110" s="35"/>
      <c r="E110" s="35"/>
      <c r="F110" s="35"/>
      <c r="G110" s="34" t="s">
        <v>41</v>
      </c>
      <c r="H110" s="22"/>
      <c r="I110" s="22"/>
      <c r="J110" s="99"/>
      <c r="K110" s="117"/>
      <c r="L110" s="117" t="s">
        <v>92</v>
      </c>
      <c r="M110" s="117"/>
    </row>
    <row r="111" spans="1:13" ht="12.75">
      <c r="A111" s="4"/>
      <c r="B111" s="57" t="s">
        <v>93</v>
      </c>
      <c r="C111" s="35"/>
      <c r="D111" s="35"/>
      <c r="E111" s="35"/>
      <c r="F111" s="35"/>
      <c r="G111" s="34" t="s">
        <v>41</v>
      </c>
      <c r="H111" s="22"/>
      <c r="I111" s="22" t="s">
        <v>94</v>
      </c>
      <c r="J111" s="99"/>
      <c r="K111" s="117"/>
      <c r="L111" s="118">
        <v>8045</v>
      </c>
      <c r="M111" s="117"/>
    </row>
    <row r="112" spans="1:13" ht="12.75">
      <c r="A112" s="4"/>
      <c r="B112" s="67" t="s">
        <v>95</v>
      </c>
      <c r="C112" s="68"/>
      <c r="D112" s="68"/>
      <c r="E112" s="68"/>
      <c r="F112" s="68"/>
      <c r="G112" s="68"/>
      <c r="H112" s="7" t="s">
        <v>43</v>
      </c>
      <c r="I112" s="7"/>
      <c r="J112" s="108"/>
      <c r="K112" s="117"/>
      <c r="L112" s="117"/>
      <c r="M112" s="117"/>
    </row>
    <row r="113" spans="1:13" ht="27" customHeight="1">
      <c r="A113" s="4"/>
      <c r="B113" s="57" t="s">
        <v>96</v>
      </c>
      <c r="C113" s="34"/>
      <c r="D113" s="35"/>
      <c r="E113" s="35"/>
      <c r="F113" s="35"/>
      <c r="G113" s="34" t="s">
        <v>41</v>
      </c>
      <c r="H113" s="22"/>
      <c r="I113" s="18" t="s">
        <v>97</v>
      </c>
      <c r="J113" s="99"/>
      <c r="K113" s="117"/>
      <c r="L113" s="117" t="s">
        <v>98</v>
      </c>
      <c r="M113" s="117"/>
    </row>
    <row r="114" spans="1:13" ht="12.75">
      <c r="A114" s="4"/>
      <c r="B114" s="67" t="s">
        <v>99</v>
      </c>
      <c r="C114" s="68"/>
      <c r="D114" s="68"/>
      <c r="E114" s="68"/>
      <c r="F114" s="68"/>
      <c r="G114" s="68"/>
      <c r="H114" s="7" t="s">
        <v>43</v>
      </c>
      <c r="I114" s="7"/>
      <c r="J114" s="108"/>
      <c r="K114" s="117"/>
      <c r="L114" s="117"/>
      <c r="M114" s="117"/>
    </row>
    <row r="115" spans="1:13" ht="12.75">
      <c r="A115" s="4"/>
      <c r="B115" s="57" t="s">
        <v>100</v>
      </c>
      <c r="C115" s="34"/>
      <c r="D115" s="35"/>
      <c r="E115" s="35"/>
      <c r="F115" s="35"/>
      <c r="G115" s="34" t="s">
        <v>41</v>
      </c>
      <c r="H115" s="22"/>
      <c r="I115" s="22"/>
      <c r="J115" s="99"/>
      <c r="K115" s="117"/>
      <c r="L115" s="117" t="s">
        <v>101</v>
      </c>
      <c r="M115" s="117"/>
    </row>
    <row r="116" spans="1:13" ht="12.75">
      <c r="A116" s="4"/>
      <c r="B116" s="57" t="s">
        <v>102</v>
      </c>
      <c r="C116" s="34"/>
      <c r="D116" s="35"/>
      <c r="E116" s="35"/>
      <c r="F116" s="35"/>
      <c r="G116" s="34" t="s">
        <v>41</v>
      </c>
      <c r="H116" s="22"/>
      <c r="I116" s="22"/>
      <c r="J116" s="99"/>
      <c r="K116" s="117"/>
      <c r="L116" s="117" t="s">
        <v>103</v>
      </c>
      <c r="M116" s="117"/>
    </row>
    <row r="117" spans="1:13" ht="12.75">
      <c r="A117" s="4"/>
      <c r="B117" s="57" t="s">
        <v>242</v>
      </c>
      <c r="C117" s="34"/>
      <c r="D117" s="35"/>
      <c r="E117" s="35"/>
      <c r="F117" s="35"/>
      <c r="G117" s="34" t="s">
        <v>41</v>
      </c>
      <c r="H117" s="22"/>
      <c r="I117" s="59">
        <f>HYPERLINK("MultimediaRecord!MM_payment_TimeSpan","TimeSpan")</f>
        <v>0</v>
      </c>
      <c r="J117" s="99"/>
      <c r="K117" s="117"/>
      <c r="L117" s="117" t="s">
        <v>189</v>
      </c>
      <c r="M117" s="117"/>
    </row>
    <row r="118" spans="2:13" ht="14.25" customHeight="1">
      <c r="B118" s="10"/>
      <c r="C118" s="10"/>
      <c r="D118" s="10"/>
      <c r="E118" s="10"/>
      <c r="F118" s="10"/>
      <c r="G118" s="10"/>
      <c r="H118" s="10"/>
      <c r="I118" s="29"/>
      <c r="J118" s="29"/>
      <c r="K118" s="117"/>
      <c r="L118" s="117"/>
      <c r="M118" s="117"/>
    </row>
    <row r="119" spans="1:13" ht="12.75">
      <c r="A119" s="4"/>
      <c r="B119" s="30" t="s">
        <v>231</v>
      </c>
      <c r="C119" s="19" t="s">
        <v>28</v>
      </c>
      <c r="D119" s="19"/>
      <c r="E119" s="19"/>
      <c r="F119" s="19"/>
      <c r="G119" s="31" t="s">
        <v>29</v>
      </c>
      <c r="H119" s="31"/>
      <c r="I119" s="32"/>
      <c r="J119" s="13"/>
      <c r="K119" s="117"/>
      <c r="L119" s="117"/>
      <c r="M119" s="117"/>
    </row>
    <row r="120" spans="1:13" ht="12.75">
      <c r="A120" s="4"/>
      <c r="B120" s="33" t="s">
        <v>32</v>
      </c>
      <c r="C120" s="23"/>
      <c r="D120" s="23" t="s">
        <v>33</v>
      </c>
      <c r="E120" s="23" t="s">
        <v>34</v>
      </c>
      <c r="F120" s="23" t="s">
        <v>35</v>
      </c>
      <c r="G120" s="33" t="s">
        <v>36</v>
      </c>
      <c r="H120" s="33" t="s">
        <v>37</v>
      </c>
      <c r="I120" s="33" t="s">
        <v>38</v>
      </c>
      <c r="J120" s="99" t="s">
        <v>39</v>
      </c>
      <c r="K120" s="117"/>
      <c r="L120" s="117"/>
      <c r="M120" s="117"/>
    </row>
    <row r="121" spans="1:13" ht="13.5">
      <c r="A121" s="4"/>
      <c r="B121" s="57" t="s">
        <v>106</v>
      </c>
      <c r="C121" s="25"/>
      <c r="D121" s="25"/>
      <c r="E121" s="25"/>
      <c r="F121" s="25"/>
      <c r="G121" s="24" t="s">
        <v>41</v>
      </c>
      <c r="H121" s="24"/>
      <c r="I121" s="24" t="s">
        <v>721</v>
      </c>
      <c r="J121" s="101"/>
      <c r="K121" s="117"/>
      <c r="L121" s="117" t="s">
        <v>107</v>
      </c>
      <c r="M121" s="117"/>
    </row>
    <row r="122" spans="1:13" ht="13.5">
      <c r="A122" s="4"/>
      <c r="B122" s="57" t="s">
        <v>108</v>
      </c>
      <c r="C122" s="25"/>
      <c r="D122" s="25"/>
      <c r="E122" s="25"/>
      <c r="F122" s="25"/>
      <c r="G122" s="24" t="s">
        <v>41</v>
      </c>
      <c r="H122" s="24"/>
      <c r="I122" s="24" t="s">
        <v>722</v>
      </c>
      <c r="J122" s="101"/>
      <c r="K122" s="117"/>
      <c r="L122" s="117" t="s">
        <v>86</v>
      </c>
      <c r="M122" s="117"/>
    </row>
    <row r="123" spans="1:13" ht="13.5">
      <c r="A123" s="4"/>
      <c r="B123" s="67" t="s">
        <v>109</v>
      </c>
      <c r="C123" s="26"/>
      <c r="D123" s="26"/>
      <c r="E123" s="26"/>
      <c r="F123" s="26"/>
      <c r="G123" s="26"/>
      <c r="H123" s="26" t="s">
        <v>43</v>
      </c>
      <c r="I123" s="26"/>
      <c r="J123" s="102"/>
      <c r="K123" s="117"/>
      <c r="L123" s="117"/>
      <c r="M123" s="117"/>
    </row>
    <row r="124" spans="2:13" ht="14.25" customHeight="1">
      <c r="B124" s="29"/>
      <c r="C124" s="29"/>
      <c r="D124" s="29"/>
      <c r="E124" s="29"/>
      <c r="F124" s="29"/>
      <c r="G124" s="29"/>
      <c r="H124" s="29"/>
      <c r="I124" s="29"/>
      <c r="J124" s="29"/>
      <c r="K124" s="117"/>
      <c r="L124" s="117"/>
      <c r="M124" s="117"/>
    </row>
    <row r="125" spans="1:10" ht="12.75">
      <c r="A125" s="50" t="s">
        <v>723</v>
      </c>
      <c r="B125" s="50"/>
      <c r="C125" s="51"/>
      <c r="D125" s="51"/>
      <c r="E125" s="51"/>
      <c r="F125" s="51"/>
      <c r="G125" s="51"/>
      <c r="H125" s="51"/>
      <c r="I125" s="51"/>
      <c r="J125" s="51"/>
    </row>
    <row r="126" spans="2:8" ht="14.25" customHeight="1">
      <c r="B126" s="3"/>
      <c r="C126" s="3"/>
      <c r="D126" s="3"/>
      <c r="E126" s="3"/>
      <c r="F126" s="3"/>
      <c r="G126" s="3"/>
      <c r="H126" s="3"/>
    </row>
    <row r="127" spans="1:13" ht="12.75">
      <c r="A127" s="4"/>
      <c r="B127" s="30" t="s">
        <v>724</v>
      </c>
      <c r="C127" s="19" t="s">
        <v>28</v>
      </c>
      <c r="D127" s="19"/>
      <c r="E127" s="19"/>
      <c r="F127" s="19"/>
      <c r="G127" s="31" t="s">
        <v>29</v>
      </c>
      <c r="H127" s="31"/>
      <c r="I127" s="32"/>
      <c r="J127" s="13"/>
      <c r="K127" s="117"/>
      <c r="L127" s="117"/>
      <c r="M127" s="117"/>
    </row>
    <row r="128" spans="1:13" ht="12.75">
      <c r="A128" s="4"/>
      <c r="B128" s="33" t="s">
        <v>32</v>
      </c>
      <c r="C128" s="23"/>
      <c r="D128" s="23" t="s">
        <v>33</v>
      </c>
      <c r="E128" s="23" t="s">
        <v>34</v>
      </c>
      <c r="F128" s="23" t="s">
        <v>35</v>
      </c>
      <c r="G128" s="33" t="s">
        <v>36</v>
      </c>
      <c r="H128" s="33" t="s">
        <v>37</v>
      </c>
      <c r="I128" s="33" t="s">
        <v>38</v>
      </c>
      <c r="J128" s="99" t="s">
        <v>39</v>
      </c>
      <c r="K128" s="117"/>
      <c r="L128" s="117"/>
      <c r="M128" s="117"/>
    </row>
    <row r="129" spans="1:13" ht="12.75">
      <c r="A129" s="4"/>
      <c r="B129" s="57" t="s">
        <v>304</v>
      </c>
      <c r="C129" s="35"/>
      <c r="D129" s="35"/>
      <c r="E129" s="35"/>
      <c r="F129" s="35"/>
      <c r="G129" s="34" t="s">
        <v>41</v>
      </c>
      <c r="H129" s="22"/>
      <c r="I129" s="59">
        <f>HYPERLINK("MultimediaRecord!MM_MultimediaPartyInformation","MultimediaPartyInformation")</f>
        <v>0</v>
      </c>
      <c r="J129" s="99"/>
      <c r="K129" s="117"/>
      <c r="L129" s="117" t="s">
        <v>725</v>
      </c>
      <c r="M129" s="117"/>
    </row>
    <row r="130" spans="1:13" ht="12.75">
      <c r="A130" s="4"/>
      <c r="B130" s="57" t="s">
        <v>306</v>
      </c>
      <c r="C130" s="35"/>
      <c r="D130" s="35"/>
      <c r="E130" s="35"/>
      <c r="F130" s="35"/>
      <c r="G130" s="34" t="s">
        <v>41</v>
      </c>
      <c r="H130" s="22"/>
      <c r="I130" s="59">
        <f>HYPERLINK("MultimediaRecord!MM_Usage_CommTime_TimeSpan","TimeSpan")</f>
        <v>0</v>
      </c>
      <c r="J130" s="99"/>
      <c r="K130" s="117"/>
      <c r="L130" s="117" t="s">
        <v>189</v>
      </c>
      <c r="M130" s="117"/>
    </row>
    <row r="131" spans="1:13" ht="12.75">
      <c r="A131" s="4"/>
      <c r="B131" s="67" t="s">
        <v>726</v>
      </c>
      <c r="C131" s="68"/>
      <c r="D131" s="68"/>
      <c r="E131" s="68"/>
      <c r="F131" s="68"/>
      <c r="G131" s="68"/>
      <c r="H131" s="7" t="s">
        <v>43</v>
      </c>
      <c r="I131" s="7"/>
      <c r="J131" s="108"/>
      <c r="K131" s="117"/>
      <c r="L131" s="117"/>
      <c r="M131" s="117"/>
    </row>
    <row r="132" spans="1:13" ht="12.75">
      <c r="A132" s="4"/>
      <c r="B132" s="57" t="s">
        <v>727</v>
      </c>
      <c r="C132" s="34"/>
      <c r="D132" s="35"/>
      <c r="E132" s="35"/>
      <c r="F132" s="35"/>
      <c r="G132" s="34" t="s">
        <v>41</v>
      </c>
      <c r="H132" s="22"/>
      <c r="I132" s="59">
        <f>HYPERLINK("MultimediaRecord!MM_MultimediaCommunicationType","MultimediaCommunicationType")</f>
        <v>0</v>
      </c>
      <c r="J132" s="99"/>
      <c r="K132" s="117"/>
      <c r="L132" s="117" t="s">
        <v>728</v>
      </c>
      <c r="M132" s="117"/>
    </row>
    <row r="133" spans="1:13" ht="12.75">
      <c r="A133" s="4"/>
      <c r="B133" s="57" t="s">
        <v>729</v>
      </c>
      <c r="C133" s="34"/>
      <c r="D133" s="35"/>
      <c r="E133" s="35"/>
      <c r="F133" s="35"/>
      <c r="G133" s="34" t="s">
        <v>41</v>
      </c>
      <c r="H133" s="22"/>
      <c r="I133" s="59">
        <f>HYPERLINK("MultimediaRecord!MM_MultimediaBearerService","MultimediaBearerService")</f>
        <v>0</v>
      </c>
      <c r="J133" s="99"/>
      <c r="K133" s="117"/>
      <c r="L133" s="117" t="s">
        <v>730</v>
      </c>
      <c r="M133" s="117"/>
    </row>
    <row r="134" spans="1:13" ht="12.75">
      <c r="A134" s="4"/>
      <c r="B134" s="67" t="s">
        <v>731</v>
      </c>
      <c r="C134" s="68"/>
      <c r="D134" s="68"/>
      <c r="E134" s="68"/>
      <c r="F134" s="68"/>
      <c r="G134" s="68"/>
      <c r="H134" s="7" t="s">
        <v>43</v>
      </c>
      <c r="I134" s="7"/>
      <c r="J134" s="108"/>
      <c r="K134" s="117"/>
      <c r="L134" s="117"/>
      <c r="M134" s="117"/>
    </row>
    <row r="135" spans="1:13" ht="12.75">
      <c r="A135" s="4"/>
      <c r="B135" s="67" t="s">
        <v>732</v>
      </c>
      <c r="C135" s="68"/>
      <c r="D135" s="68"/>
      <c r="E135" s="68"/>
      <c r="F135" s="68"/>
      <c r="G135" s="68"/>
      <c r="H135" s="7" t="s">
        <v>43</v>
      </c>
      <c r="I135" s="7"/>
      <c r="J135" s="108"/>
      <c r="K135" s="117"/>
      <c r="L135" s="117"/>
      <c r="M135" s="117"/>
    </row>
    <row r="136" spans="1:13" ht="12.75">
      <c r="A136" s="4"/>
      <c r="B136" s="57" t="s">
        <v>733</v>
      </c>
      <c r="C136" s="34"/>
      <c r="D136" s="35"/>
      <c r="E136" s="35"/>
      <c r="F136" s="35"/>
      <c r="G136" s="34" t="s">
        <v>41</v>
      </c>
      <c r="H136" s="22"/>
      <c r="I136" s="22"/>
      <c r="J136" s="99"/>
      <c r="K136" s="117"/>
      <c r="L136" s="118">
        <v>41324552323</v>
      </c>
      <c r="M136" s="117"/>
    </row>
    <row r="137" spans="1:13" ht="12.75">
      <c r="A137" s="4"/>
      <c r="B137" s="57" t="s">
        <v>734</v>
      </c>
      <c r="C137" s="34"/>
      <c r="D137" s="35"/>
      <c r="E137" s="35"/>
      <c r="F137" s="35"/>
      <c r="G137" s="34" t="s">
        <v>41</v>
      </c>
      <c r="H137" s="22"/>
      <c r="I137" s="22"/>
      <c r="J137" s="99"/>
      <c r="K137" s="117"/>
      <c r="L137" s="118">
        <v>41324552323</v>
      </c>
      <c r="M137" s="117"/>
    </row>
    <row r="138" spans="1:13" ht="12.75">
      <c r="A138" s="4"/>
      <c r="B138" s="67" t="s">
        <v>735</v>
      </c>
      <c r="C138" s="68"/>
      <c r="D138" s="68"/>
      <c r="E138" s="68"/>
      <c r="F138" s="68"/>
      <c r="G138" s="68"/>
      <c r="H138" s="7" t="s">
        <v>43</v>
      </c>
      <c r="I138" s="7"/>
      <c r="J138" s="108"/>
      <c r="K138" s="117"/>
      <c r="L138" s="117"/>
      <c r="M138" s="117"/>
    </row>
    <row r="139" spans="1:13" ht="12.75">
      <c r="A139" s="4"/>
      <c r="B139" s="57" t="s">
        <v>736</v>
      </c>
      <c r="C139" s="34"/>
      <c r="D139" s="35"/>
      <c r="E139" s="35"/>
      <c r="F139" s="35"/>
      <c r="G139" s="34" t="s">
        <v>41</v>
      </c>
      <c r="H139" s="22"/>
      <c r="I139" s="22"/>
      <c r="J139" s="99"/>
      <c r="K139" s="117"/>
      <c r="L139" s="117" t="s">
        <v>737</v>
      </c>
      <c r="M139" s="117"/>
    </row>
    <row r="140" spans="1:13" ht="12.75">
      <c r="A140" s="4"/>
      <c r="B140" s="57" t="s">
        <v>738</v>
      </c>
      <c r="C140" s="34"/>
      <c r="D140" s="35"/>
      <c r="E140" s="35"/>
      <c r="F140" s="35"/>
      <c r="G140" s="34" t="s">
        <v>41</v>
      </c>
      <c r="H140" s="22"/>
      <c r="I140" s="22" t="s">
        <v>739</v>
      </c>
      <c r="J140" s="99"/>
      <c r="K140" s="117"/>
      <c r="L140" s="117" t="s">
        <v>740</v>
      </c>
      <c r="M140" s="117"/>
    </row>
    <row r="141" spans="1:13" ht="12.75">
      <c r="A141" s="4"/>
      <c r="B141" s="57" t="s">
        <v>741</v>
      </c>
      <c r="C141" s="34"/>
      <c r="D141" s="35"/>
      <c r="E141" s="35"/>
      <c r="F141" s="35"/>
      <c r="G141" s="34" t="s">
        <v>41</v>
      </c>
      <c r="H141" s="22"/>
      <c r="I141" s="59">
        <f>HYPERLINK("MultimediaRecord!MM_MediaComponent","MediaComponent")</f>
        <v>0</v>
      </c>
      <c r="J141" s="99"/>
      <c r="K141" s="117"/>
      <c r="L141" s="117" t="s">
        <v>742</v>
      </c>
      <c r="M141" s="117"/>
    </row>
    <row r="142" spans="1:13" ht="12.75">
      <c r="A142" s="4"/>
      <c r="B142" s="57" t="s">
        <v>743</v>
      </c>
      <c r="C142" s="34"/>
      <c r="D142" s="35"/>
      <c r="E142" s="35"/>
      <c r="F142" s="35"/>
      <c r="G142" s="34" t="s">
        <v>41</v>
      </c>
      <c r="H142" s="22"/>
      <c r="I142" s="59">
        <f>HYPERLINK("MultimediaRecord!MM_ImsInformation","ImsInformation")</f>
        <v>0</v>
      </c>
      <c r="J142" s="99"/>
      <c r="K142" s="117"/>
      <c r="L142" s="117" t="s">
        <v>744</v>
      </c>
      <c r="M142" s="117"/>
    </row>
    <row r="143" spans="1:13" ht="12.75">
      <c r="A143" s="4"/>
      <c r="B143" s="67" t="s">
        <v>745</v>
      </c>
      <c r="C143" s="68"/>
      <c r="D143" s="68"/>
      <c r="E143" s="68"/>
      <c r="F143" s="68"/>
      <c r="G143" s="68"/>
      <c r="H143" s="7" t="s">
        <v>43</v>
      </c>
      <c r="I143" s="7"/>
      <c r="J143" s="108"/>
      <c r="K143" s="117"/>
      <c r="L143" s="117"/>
      <c r="M143" s="117"/>
    </row>
    <row r="144" spans="1:13" ht="57" customHeight="1">
      <c r="A144" s="4"/>
      <c r="B144" s="57" t="s">
        <v>746</v>
      </c>
      <c r="C144" s="34"/>
      <c r="D144" s="35"/>
      <c r="E144" s="35"/>
      <c r="F144" s="35"/>
      <c r="G144" s="34" t="s">
        <v>41</v>
      </c>
      <c r="H144" s="22"/>
      <c r="I144" s="89" t="s">
        <v>747</v>
      </c>
      <c r="J144" s="109">
        <f>HYPERLINK("MultimediaRecord!MM_ServiceUsage_serviceID","serviceID")</f>
        <v>0</v>
      </c>
      <c r="K144" s="117"/>
      <c r="L144" s="117" t="s">
        <v>748</v>
      </c>
      <c r="M144" s="117"/>
    </row>
    <row r="145" spans="1:13" ht="12.75">
      <c r="A145" s="4"/>
      <c r="B145" s="57" t="s">
        <v>749</v>
      </c>
      <c r="C145" s="34"/>
      <c r="D145" s="35"/>
      <c r="E145" s="35"/>
      <c r="F145" s="35"/>
      <c r="G145" s="34" t="s">
        <v>41</v>
      </c>
      <c r="H145" s="22"/>
      <c r="I145" s="22" t="s">
        <v>123</v>
      </c>
      <c r="J145" s="99"/>
      <c r="K145" s="117"/>
      <c r="L145" s="117" t="s">
        <v>701</v>
      </c>
      <c r="M145" s="117"/>
    </row>
    <row r="146" spans="2:13" ht="14.25" customHeight="1">
      <c r="B146" s="60"/>
      <c r="C146" s="79"/>
      <c r="D146" s="79"/>
      <c r="E146" s="79"/>
      <c r="F146" s="79"/>
      <c r="G146" s="79"/>
      <c r="H146" s="10"/>
      <c r="I146" s="10"/>
      <c r="J146" s="10"/>
      <c r="K146" s="117"/>
      <c r="L146" s="117"/>
      <c r="M146" s="117"/>
    </row>
    <row r="147" spans="1:13" ht="79.5" customHeight="1">
      <c r="A147" s="4"/>
      <c r="B147" s="36" t="s">
        <v>750</v>
      </c>
      <c r="C147" s="36"/>
      <c r="D147" s="36"/>
      <c r="E147" s="36"/>
      <c r="F147" s="36"/>
      <c r="G147" s="37" t="s">
        <v>52</v>
      </c>
      <c r="H147" s="37"/>
      <c r="I147" s="37"/>
      <c r="J147" s="37"/>
      <c r="K147" s="117"/>
      <c r="L147" s="117"/>
      <c r="M147" s="117"/>
    </row>
    <row r="148" spans="1:13" ht="13.5" customHeight="1">
      <c r="A148" s="4"/>
      <c r="B148" s="38" t="s">
        <v>751</v>
      </c>
      <c r="C148" s="38"/>
      <c r="D148" s="38"/>
      <c r="E148" s="38"/>
      <c r="F148" s="38"/>
      <c r="G148" s="25"/>
      <c r="H148" s="25"/>
      <c r="I148" s="25"/>
      <c r="J148" s="25"/>
      <c r="K148" s="117"/>
      <c r="L148" s="117" t="s">
        <v>711</v>
      </c>
      <c r="M148" s="117"/>
    </row>
    <row r="149" spans="2:13" ht="14.25" customHeight="1">
      <c r="B149" s="10"/>
      <c r="C149" s="10"/>
      <c r="D149" s="10"/>
      <c r="E149" s="10"/>
      <c r="F149" s="10"/>
      <c r="G149" s="10"/>
      <c r="H149" s="10"/>
      <c r="I149" s="29"/>
      <c r="J149" s="29"/>
      <c r="K149" s="117"/>
      <c r="L149" s="117"/>
      <c r="M149" s="117"/>
    </row>
    <row r="150" spans="1:13" ht="12.75">
      <c r="A150" s="4"/>
      <c r="B150" s="30" t="s">
        <v>752</v>
      </c>
      <c r="C150" s="19" t="s">
        <v>28</v>
      </c>
      <c r="D150" s="19"/>
      <c r="E150" s="19"/>
      <c r="F150" s="19"/>
      <c r="G150" s="31" t="s">
        <v>29</v>
      </c>
      <c r="H150" s="31"/>
      <c r="I150" s="32"/>
      <c r="J150" s="13"/>
      <c r="K150" s="117"/>
      <c r="L150" s="117"/>
      <c r="M150" s="117"/>
    </row>
    <row r="151" spans="1:13" ht="12.75">
      <c r="A151" s="4"/>
      <c r="B151" s="33" t="s">
        <v>32</v>
      </c>
      <c r="C151" s="23"/>
      <c r="D151" s="23" t="s">
        <v>33</v>
      </c>
      <c r="E151" s="23" t="s">
        <v>34</v>
      </c>
      <c r="F151" s="23" t="s">
        <v>35</v>
      </c>
      <c r="G151" s="33" t="s">
        <v>36</v>
      </c>
      <c r="H151" s="33" t="s">
        <v>37</v>
      </c>
      <c r="I151" s="33" t="s">
        <v>38</v>
      </c>
      <c r="J151" s="99" t="s">
        <v>39</v>
      </c>
      <c r="K151" s="117"/>
      <c r="L151" s="117"/>
      <c r="M151" s="117"/>
    </row>
    <row r="152" spans="1:13" ht="12.75">
      <c r="A152" s="4"/>
      <c r="B152" s="57" t="s">
        <v>320</v>
      </c>
      <c r="C152" s="35"/>
      <c r="D152" s="35"/>
      <c r="E152" s="35"/>
      <c r="F152" s="35"/>
      <c r="G152" s="34" t="s">
        <v>41</v>
      </c>
      <c r="H152" s="22"/>
      <c r="I152" s="59">
        <f>HYPERLINK("MultimediaRecord!MM_MultimediaPartyRole","MultimediaPartyRole")</f>
        <v>0</v>
      </c>
      <c r="J152" s="99"/>
      <c r="K152" s="117"/>
      <c r="L152" s="117" t="s">
        <v>753</v>
      </c>
      <c r="M152" s="117"/>
    </row>
    <row r="153" spans="1:13" ht="229.5" customHeight="1">
      <c r="A153" s="4"/>
      <c r="B153" s="57" t="s">
        <v>322</v>
      </c>
      <c r="C153" s="35"/>
      <c r="D153" s="35"/>
      <c r="E153" s="35"/>
      <c r="F153" s="35"/>
      <c r="G153" s="34" t="s">
        <v>41</v>
      </c>
      <c r="H153" s="22"/>
      <c r="I153" s="89" t="s">
        <v>754</v>
      </c>
      <c r="J153" s="99"/>
      <c r="K153" s="117"/>
      <c r="L153" s="118">
        <v>41324552323</v>
      </c>
      <c r="M153" s="117"/>
    </row>
    <row r="154" spans="1:13" ht="242.25" customHeight="1">
      <c r="A154" s="4"/>
      <c r="B154" s="57" t="s">
        <v>324</v>
      </c>
      <c r="C154" s="35"/>
      <c r="D154" s="35"/>
      <c r="E154" s="35"/>
      <c r="F154" s="35"/>
      <c r="G154" s="34" t="s">
        <v>41</v>
      </c>
      <c r="H154" s="22"/>
      <c r="I154" s="24" t="s">
        <v>755</v>
      </c>
      <c r="J154" s="109">
        <f>HYPERLINK("MultimediaRecord!MM_Usage_subscriberID","subscriberID")</f>
        <v>0</v>
      </c>
      <c r="K154" s="117"/>
      <c r="L154" s="118">
        <v>41324552323</v>
      </c>
      <c r="M154" s="117"/>
    </row>
    <row r="155" spans="1:13" ht="12.75">
      <c r="A155" s="4"/>
      <c r="B155" s="57" t="s">
        <v>756</v>
      </c>
      <c r="C155" s="35"/>
      <c r="D155" s="35"/>
      <c r="E155" s="35"/>
      <c r="F155" s="35"/>
      <c r="G155" s="34" t="s">
        <v>41</v>
      </c>
      <c r="H155" s="22"/>
      <c r="I155" s="59">
        <f>HYPERLINK("MultimediaRecord!MM_CommunicationTime_TimeSpan","TimeSpan")</f>
        <v>0</v>
      </c>
      <c r="J155" s="99"/>
      <c r="K155" s="117"/>
      <c r="L155" s="117" t="s">
        <v>189</v>
      </c>
      <c r="M155" s="117"/>
    </row>
    <row r="156" spans="1:13" ht="115.5">
      <c r="A156" s="4"/>
      <c r="B156" s="57" t="s">
        <v>757</v>
      </c>
      <c r="C156" s="35"/>
      <c r="D156" s="35"/>
      <c r="E156" s="35"/>
      <c r="F156" s="35"/>
      <c r="G156" s="34" t="s">
        <v>41</v>
      </c>
      <c r="H156" s="22"/>
      <c r="I156" s="24" t="s">
        <v>334</v>
      </c>
      <c r="J156" s="99"/>
      <c r="K156" s="117"/>
      <c r="L156" s="117" t="s">
        <v>86</v>
      </c>
      <c r="M156" s="117"/>
    </row>
    <row r="157" spans="1:13" ht="12.75">
      <c r="A157" s="4"/>
      <c r="B157" s="57" t="s">
        <v>758</v>
      </c>
      <c r="C157" s="34"/>
      <c r="D157" s="35"/>
      <c r="E157" s="35"/>
      <c r="F157" s="35"/>
      <c r="G157" s="34" t="s">
        <v>41</v>
      </c>
      <c r="H157" s="22"/>
      <c r="I157" s="22" t="s">
        <v>203</v>
      </c>
      <c r="J157" s="99"/>
      <c r="K157" s="117"/>
      <c r="L157" s="117" t="s">
        <v>86</v>
      </c>
      <c r="M157" s="117"/>
    </row>
    <row r="158" spans="1:13" ht="34.5">
      <c r="A158" s="4"/>
      <c r="B158" s="57" t="s">
        <v>759</v>
      </c>
      <c r="C158" s="34"/>
      <c r="D158" s="35"/>
      <c r="E158" s="35"/>
      <c r="F158" s="35"/>
      <c r="G158" s="34" t="s">
        <v>41</v>
      </c>
      <c r="H158" s="22"/>
      <c r="I158" s="24" t="s">
        <v>339</v>
      </c>
      <c r="J158" s="99"/>
      <c r="K158" s="117"/>
      <c r="L158" s="117" t="s">
        <v>340</v>
      </c>
      <c r="M158" s="117" t="s">
        <v>760</v>
      </c>
    </row>
    <row r="159" spans="1:13" ht="142.5" customHeight="1">
      <c r="A159" s="4"/>
      <c r="B159" s="57" t="s">
        <v>761</v>
      </c>
      <c r="C159" s="34"/>
      <c r="D159" s="35"/>
      <c r="E159" s="35"/>
      <c r="F159" s="35"/>
      <c r="G159" s="34" t="s">
        <v>41</v>
      </c>
      <c r="H159" s="22"/>
      <c r="I159" s="89" t="s">
        <v>762</v>
      </c>
      <c r="J159" s="99"/>
      <c r="K159" s="117"/>
      <c r="L159" s="118">
        <v>41324552323</v>
      </c>
      <c r="M159" s="117"/>
    </row>
    <row r="160" spans="1:13" ht="71.25" customHeight="1">
      <c r="A160" s="4"/>
      <c r="B160" s="57" t="s">
        <v>763</v>
      </c>
      <c r="C160" s="34"/>
      <c r="D160" s="35"/>
      <c r="E160" s="35"/>
      <c r="F160" s="35"/>
      <c r="G160" s="34" t="s">
        <v>41</v>
      </c>
      <c r="H160" s="22"/>
      <c r="I160" s="24" t="s">
        <v>764</v>
      </c>
      <c r="J160" s="119"/>
      <c r="K160" s="117"/>
      <c r="L160" s="118">
        <v>41324552323</v>
      </c>
      <c r="M160" s="117"/>
    </row>
    <row r="161" spans="1:13" ht="12.75">
      <c r="A161" s="4"/>
      <c r="B161" s="57" t="s">
        <v>765</v>
      </c>
      <c r="C161" s="35"/>
      <c r="D161" s="35"/>
      <c r="E161" s="35"/>
      <c r="F161" s="35"/>
      <c r="G161" s="34" t="s">
        <v>41</v>
      </c>
      <c r="H161" s="22"/>
      <c r="I161" s="59">
        <f>HYPERLINK("MultimediaRecord!MM_NAAssignedAddress","NAAssignedAddress")</f>
        <v>0</v>
      </c>
      <c r="J161" s="99"/>
      <c r="K161" s="117"/>
      <c r="L161" s="117" t="s">
        <v>766</v>
      </c>
      <c r="M161" s="117"/>
    </row>
    <row r="162" spans="1:13" ht="26.25">
      <c r="A162" s="4"/>
      <c r="B162" s="57" t="s">
        <v>767</v>
      </c>
      <c r="C162" s="34"/>
      <c r="D162" s="35"/>
      <c r="E162" s="35"/>
      <c r="F162" s="35"/>
      <c r="G162" s="34" t="s">
        <v>41</v>
      </c>
      <c r="H162" s="22"/>
      <c r="I162" s="24" t="s">
        <v>768</v>
      </c>
      <c r="J162" s="119"/>
      <c r="K162" s="117"/>
      <c r="L162" s="117" t="s">
        <v>86</v>
      </c>
      <c r="M162" s="117"/>
    </row>
    <row r="163" spans="1:13" ht="26.25">
      <c r="A163" s="4"/>
      <c r="B163" s="57" t="s">
        <v>769</v>
      </c>
      <c r="C163" s="34"/>
      <c r="D163" s="35"/>
      <c r="E163" s="35"/>
      <c r="F163" s="35"/>
      <c r="G163" s="34" t="s">
        <v>41</v>
      </c>
      <c r="H163" s="22"/>
      <c r="I163" s="24" t="s">
        <v>768</v>
      </c>
      <c r="J163" s="99"/>
      <c r="K163" s="117"/>
      <c r="L163" s="117" t="s">
        <v>86</v>
      </c>
      <c r="M163" s="117"/>
    </row>
    <row r="164" spans="1:13" ht="24" customHeight="1">
      <c r="A164" s="4"/>
      <c r="B164" s="67" t="s">
        <v>770</v>
      </c>
      <c r="C164" s="68"/>
      <c r="D164" s="68"/>
      <c r="E164" s="68"/>
      <c r="F164" s="68"/>
      <c r="G164" s="68"/>
      <c r="H164" s="21" t="s">
        <v>43</v>
      </c>
      <c r="I164" s="26"/>
      <c r="J164" s="120"/>
      <c r="K164" s="117"/>
      <c r="L164" s="117"/>
      <c r="M164" s="117"/>
    </row>
    <row r="165" spans="1:13" ht="12.75">
      <c r="A165" s="4"/>
      <c r="B165" s="67" t="s">
        <v>771</v>
      </c>
      <c r="C165" s="68"/>
      <c r="D165" s="68"/>
      <c r="E165" s="68"/>
      <c r="F165" s="68"/>
      <c r="G165" s="68"/>
      <c r="H165" s="7" t="s">
        <v>43</v>
      </c>
      <c r="I165" s="7"/>
      <c r="J165" s="108"/>
      <c r="K165" s="117"/>
      <c r="L165" s="117"/>
      <c r="M165" s="117"/>
    </row>
    <row r="166" spans="1:13" ht="12.75">
      <c r="A166" s="4"/>
      <c r="B166" s="67" t="s">
        <v>772</v>
      </c>
      <c r="C166" s="68"/>
      <c r="D166" s="68"/>
      <c r="E166" s="68"/>
      <c r="F166" s="68"/>
      <c r="G166" s="68"/>
      <c r="H166" s="7" t="s">
        <v>43</v>
      </c>
      <c r="I166" s="26"/>
      <c r="J166" s="120"/>
      <c r="K166" s="117"/>
      <c r="L166" s="117"/>
      <c r="M166" s="117"/>
    </row>
    <row r="167" spans="1:13" ht="12.75">
      <c r="A167" s="4"/>
      <c r="B167" s="67" t="s">
        <v>773</v>
      </c>
      <c r="C167" s="68"/>
      <c r="D167" s="68"/>
      <c r="E167" s="68"/>
      <c r="F167" s="68"/>
      <c r="G167" s="68"/>
      <c r="H167" s="7" t="s">
        <v>43</v>
      </c>
      <c r="I167" s="7"/>
      <c r="J167" s="108"/>
      <c r="K167" s="117"/>
      <c r="L167" s="117"/>
      <c r="M167" s="117"/>
    </row>
    <row r="168" spans="2:13" ht="12.75">
      <c r="B168" s="60"/>
      <c r="C168" s="79"/>
      <c r="D168" s="79"/>
      <c r="E168" s="79"/>
      <c r="F168" s="79"/>
      <c r="G168" s="79"/>
      <c r="H168" s="10"/>
      <c r="I168" s="10"/>
      <c r="J168" s="121"/>
      <c r="K168" s="117"/>
      <c r="L168" s="117"/>
      <c r="M168" s="117"/>
    </row>
    <row r="169" spans="1:13" ht="79.5" customHeight="1">
      <c r="A169" s="4"/>
      <c r="B169" s="36" t="s">
        <v>774</v>
      </c>
      <c r="C169" s="36"/>
      <c r="D169" s="36"/>
      <c r="E169" s="36"/>
      <c r="F169" s="36"/>
      <c r="G169" s="37" t="s">
        <v>52</v>
      </c>
      <c r="H169" s="37"/>
      <c r="I169" s="37"/>
      <c r="J169" s="37"/>
      <c r="K169" s="117"/>
      <c r="L169" s="117"/>
      <c r="M169" s="117"/>
    </row>
    <row r="170" spans="1:13" ht="26.25" customHeight="1">
      <c r="A170" s="4"/>
      <c r="B170" s="38" t="s">
        <v>775</v>
      </c>
      <c r="C170" s="38"/>
      <c r="D170" s="38"/>
      <c r="E170" s="38"/>
      <c r="F170" s="38"/>
      <c r="G170" s="25"/>
      <c r="H170" s="25"/>
      <c r="I170" s="25"/>
      <c r="J170" s="25"/>
      <c r="K170" s="117"/>
      <c r="L170" s="118">
        <v>41324552323</v>
      </c>
      <c r="M170" s="117"/>
    </row>
    <row r="171" spans="2:13" ht="14.25" customHeight="1">
      <c r="B171" s="10"/>
      <c r="C171" s="10"/>
      <c r="D171" s="10"/>
      <c r="E171" s="10"/>
      <c r="F171" s="10"/>
      <c r="G171" s="10"/>
      <c r="H171" s="10"/>
      <c r="I171" s="29"/>
      <c r="J171" s="29"/>
      <c r="K171" s="117"/>
      <c r="L171" s="117"/>
      <c r="M171" s="117"/>
    </row>
    <row r="172" spans="1:13" ht="12.75">
      <c r="A172" s="4"/>
      <c r="B172" s="30" t="s">
        <v>776</v>
      </c>
      <c r="C172" s="19" t="s">
        <v>28</v>
      </c>
      <c r="D172" s="19"/>
      <c r="E172" s="19"/>
      <c r="F172" s="19"/>
      <c r="G172" s="31" t="s">
        <v>29</v>
      </c>
      <c r="H172" s="31"/>
      <c r="I172" s="32"/>
      <c r="J172" s="13"/>
      <c r="K172" s="117"/>
      <c r="L172" s="117"/>
      <c r="M172" s="117"/>
    </row>
    <row r="173" spans="1:13" ht="12.75">
      <c r="A173" s="4"/>
      <c r="B173" s="33" t="s">
        <v>32</v>
      </c>
      <c r="C173" s="23"/>
      <c r="D173" s="23" t="s">
        <v>33</v>
      </c>
      <c r="E173" s="23" t="s">
        <v>34</v>
      </c>
      <c r="F173" s="23" t="s">
        <v>35</v>
      </c>
      <c r="G173" s="33" t="s">
        <v>36</v>
      </c>
      <c r="H173" s="33" t="s">
        <v>37</v>
      </c>
      <c r="I173" s="33" t="s">
        <v>38</v>
      </c>
      <c r="J173" s="99" t="s">
        <v>39</v>
      </c>
      <c r="K173" s="117"/>
      <c r="L173" s="117"/>
      <c r="M173" s="117"/>
    </row>
    <row r="174" spans="1:13" ht="12.75">
      <c r="A174" s="4"/>
      <c r="B174" s="57" t="s">
        <v>777</v>
      </c>
      <c r="C174" s="35"/>
      <c r="D174" s="35"/>
      <c r="E174" s="35"/>
      <c r="F174" s="35"/>
      <c r="G174" s="34" t="s">
        <v>41</v>
      </c>
      <c r="H174" s="22"/>
      <c r="I174" s="22"/>
      <c r="J174" s="99"/>
      <c r="K174" s="117"/>
      <c r="L174" s="117"/>
      <c r="M174" s="117"/>
    </row>
    <row r="175" spans="1:13" ht="12.75">
      <c r="A175" s="4"/>
      <c r="B175" s="57" t="s">
        <v>778</v>
      </c>
      <c r="C175" s="35"/>
      <c r="D175" s="35"/>
      <c r="E175" s="35"/>
      <c r="F175" s="35"/>
      <c r="G175" s="34" t="s">
        <v>41</v>
      </c>
      <c r="H175" s="22"/>
      <c r="I175" s="22"/>
      <c r="J175" s="99"/>
      <c r="K175" s="117"/>
      <c r="L175" s="117" t="s">
        <v>779</v>
      </c>
      <c r="M175" s="117"/>
    </row>
    <row r="176" spans="1:13" ht="12.75">
      <c r="A176" s="4"/>
      <c r="B176" s="57" t="s">
        <v>780</v>
      </c>
      <c r="C176" s="35"/>
      <c r="D176" s="35"/>
      <c r="E176" s="35"/>
      <c r="F176" s="35"/>
      <c r="G176" s="34" t="s">
        <v>41</v>
      </c>
      <c r="H176" s="22"/>
      <c r="I176" s="24"/>
      <c r="J176" s="119"/>
      <c r="K176" s="117"/>
      <c r="L176" s="117"/>
      <c r="M176" s="117"/>
    </row>
    <row r="177" spans="1:13" ht="12.75">
      <c r="A177" s="4"/>
      <c r="B177" s="57" t="s">
        <v>781</v>
      </c>
      <c r="C177" s="35"/>
      <c r="D177" s="35"/>
      <c r="E177" s="35"/>
      <c r="F177" s="35"/>
      <c r="G177" s="34" t="s">
        <v>41</v>
      </c>
      <c r="H177" s="22"/>
      <c r="I177" s="22"/>
      <c r="J177" s="99"/>
      <c r="K177" s="117"/>
      <c r="L177" s="117"/>
      <c r="M177" s="117"/>
    </row>
    <row r="178" spans="1:13" ht="12.75">
      <c r="A178" s="4"/>
      <c r="B178" s="57" t="s">
        <v>782</v>
      </c>
      <c r="C178" s="35"/>
      <c r="D178" s="35"/>
      <c r="E178" s="35"/>
      <c r="F178" s="35"/>
      <c r="G178" s="34" t="s">
        <v>41</v>
      </c>
      <c r="H178" s="22"/>
      <c r="I178" s="22"/>
      <c r="J178" s="99"/>
      <c r="K178" s="117"/>
      <c r="L178" s="117"/>
      <c r="M178" s="117"/>
    </row>
    <row r="179" spans="1:13" ht="12.75">
      <c r="A179" s="4"/>
      <c r="B179" s="57" t="s">
        <v>783</v>
      </c>
      <c r="C179" s="35"/>
      <c r="D179" s="35"/>
      <c r="E179" s="35"/>
      <c r="F179" s="35"/>
      <c r="G179" s="34" t="s">
        <v>41</v>
      </c>
      <c r="H179" s="22"/>
      <c r="I179" s="24"/>
      <c r="J179" s="119"/>
      <c r="K179" s="117"/>
      <c r="L179" s="117"/>
      <c r="M179" s="117"/>
    </row>
    <row r="180" spans="1:13" ht="12.75">
      <c r="A180" s="4"/>
      <c r="B180" s="57" t="s">
        <v>784</v>
      </c>
      <c r="C180" s="35"/>
      <c r="D180" s="35"/>
      <c r="E180" s="35"/>
      <c r="F180" s="35"/>
      <c r="G180" s="34" t="s">
        <v>41</v>
      </c>
      <c r="H180" s="22"/>
      <c r="I180" s="22"/>
      <c r="J180" s="99"/>
      <c r="K180" s="117"/>
      <c r="L180" s="117"/>
      <c r="M180" s="117"/>
    </row>
    <row r="181" spans="1:13" ht="12.75">
      <c r="A181" s="4"/>
      <c r="B181" s="57" t="s">
        <v>785</v>
      </c>
      <c r="C181" s="35"/>
      <c r="D181" s="35"/>
      <c r="E181" s="35"/>
      <c r="F181" s="35"/>
      <c r="G181" s="34" t="s">
        <v>41</v>
      </c>
      <c r="H181" s="22"/>
      <c r="I181" s="22"/>
      <c r="J181" s="99"/>
      <c r="K181" s="117"/>
      <c r="L181" s="117"/>
      <c r="M181" s="117"/>
    </row>
    <row r="182" spans="1:13" ht="12.75">
      <c r="A182" s="4"/>
      <c r="B182" s="57" t="s">
        <v>786</v>
      </c>
      <c r="C182" s="35"/>
      <c r="D182" s="35"/>
      <c r="E182" s="35"/>
      <c r="F182" s="35"/>
      <c r="G182" s="34" t="s">
        <v>41</v>
      </c>
      <c r="H182" s="22"/>
      <c r="I182" s="24"/>
      <c r="J182" s="119"/>
      <c r="K182" s="117"/>
      <c r="L182" s="117"/>
      <c r="M182" s="117"/>
    </row>
    <row r="183" spans="1:13" ht="12.75">
      <c r="A183" s="4"/>
      <c r="B183" s="57" t="s">
        <v>787</v>
      </c>
      <c r="C183" s="35"/>
      <c r="D183" s="35"/>
      <c r="E183" s="35"/>
      <c r="F183" s="35"/>
      <c r="G183" s="34" t="s">
        <v>41</v>
      </c>
      <c r="H183" s="22"/>
      <c r="I183" s="24"/>
      <c r="J183" s="119"/>
      <c r="K183" s="117"/>
      <c r="L183" s="117"/>
      <c r="M183" s="117"/>
    </row>
    <row r="184" spans="2:13" ht="14.25" customHeight="1">
      <c r="B184" s="10"/>
      <c r="C184" s="10"/>
      <c r="D184" s="10"/>
      <c r="E184" s="10"/>
      <c r="F184" s="10"/>
      <c r="G184" s="10"/>
      <c r="H184" s="10"/>
      <c r="I184" s="29"/>
      <c r="J184" s="29"/>
      <c r="K184" s="117"/>
      <c r="L184" s="117"/>
      <c r="M184" s="117"/>
    </row>
    <row r="185" spans="1:13" ht="12.75">
      <c r="A185" s="4"/>
      <c r="B185" s="30" t="s">
        <v>231</v>
      </c>
      <c r="C185" s="19" t="s">
        <v>28</v>
      </c>
      <c r="D185" s="19"/>
      <c r="E185" s="19"/>
      <c r="F185" s="19"/>
      <c r="G185" s="31" t="s">
        <v>29</v>
      </c>
      <c r="H185" s="31"/>
      <c r="I185" s="32"/>
      <c r="J185" s="13"/>
      <c r="K185" s="117"/>
      <c r="L185" s="117"/>
      <c r="M185" s="117"/>
    </row>
    <row r="186" spans="1:13" ht="12.75">
      <c r="A186" s="4"/>
      <c r="B186" s="33" t="s">
        <v>32</v>
      </c>
      <c r="C186" s="23"/>
      <c r="D186" s="23" t="s">
        <v>33</v>
      </c>
      <c r="E186" s="23" t="s">
        <v>34</v>
      </c>
      <c r="F186" s="23" t="s">
        <v>35</v>
      </c>
      <c r="G186" s="33" t="s">
        <v>36</v>
      </c>
      <c r="H186" s="33" t="s">
        <v>37</v>
      </c>
      <c r="I186" s="33" t="s">
        <v>38</v>
      </c>
      <c r="J186" s="99" t="s">
        <v>39</v>
      </c>
      <c r="K186" s="117"/>
      <c r="L186" s="117"/>
      <c r="M186" s="117"/>
    </row>
    <row r="187" spans="1:13" ht="12.75">
      <c r="A187" s="4"/>
      <c r="B187" s="57" t="s">
        <v>106</v>
      </c>
      <c r="C187" s="35"/>
      <c r="D187" s="35"/>
      <c r="E187" s="35"/>
      <c r="F187" s="35"/>
      <c r="G187" s="34" t="s">
        <v>41</v>
      </c>
      <c r="H187" s="22"/>
      <c r="I187" s="22"/>
      <c r="J187" s="99"/>
      <c r="K187" s="117"/>
      <c r="L187" s="117" t="s">
        <v>737</v>
      </c>
      <c r="M187" s="117"/>
    </row>
    <row r="188" spans="1:13" ht="12.75">
      <c r="A188" s="4"/>
      <c r="B188" s="57" t="s">
        <v>108</v>
      </c>
      <c r="C188" s="35"/>
      <c r="D188" s="35"/>
      <c r="E188" s="35"/>
      <c r="F188" s="35"/>
      <c r="G188" s="34" t="s">
        <v>41</v>
      </c>
      <c r="H188" s="22"/>
      <c r="I188" s="22"/>
      <c r="J188" s="99"/>
      <c r="K188" s="117"/>
      <c r="L188" s="117" t="s">
        <v>788</v>
      </c>
      <c r="M188" s="117"/>
    </row>
    <row r="189" spans="1:13" ht="12.75">
      <c r="A189" s="4"/>
      <c r="B189" s="57" t="s">
        <v>109</v>
      </c>
      <c r="C189" s="35"/>
      <c r="D189" s="35"/>
      <c r="E189" s="35"/>
      <c r="F189" s="35"/>
      <c r="G189" s="34" t="s">
        <v>41</v>
      </c>
      <c r="H189" s="22"/>
      <c r="I189" s="22"/>
      <c r="J189" s="99"/>
      <c r="K189" s="117"/>
      <c r="L189" s="118">
        <v>239</v>
      </c>
      <c r="M189" s="117"/>
    </row>
    <row r="190" spans="2:13" ht="14.25" customHeight="1">
      <c r="B190" s="10"/>
      <c r="C190" s="10"/>
      <c r="D190" s="10"/>
      <c r="E190" s="10"/>
      <c r="F190" s="10"/>
      <c r="G190" s="10"/>
      <c r="H190" s="10"/>
      <c r="I190" s="29"/>
      <c r="J190" s="29"/>
      <c r="K190" s="117"/>
      <c r="L190" s="117"/>
      <c r="M190" s="117"/>
    </row>
    <row r="191" spans="1:13" ht="12.75">
      <c r="A191" s="4"/>
      <c r="B191" s="30" t="s">
        <v>789</v>
      </c>
      <c r="C191" s="19" t="s">
        <v>28</v>
      </c>
      <c r="D191" s="19"/>
      <c r="E191" s="19"/>
      <c r="F191" s="19"/>
      <c r="G191" s="31" t="s">
        <v>29</v>
      </c>
      <c r="H191" s="31"/>
      <c r="I191" s="32"/>
      <c r="J191" s="13"/>
      <c r="K191" s="117"/>
      <c r="L191" s="117"/>
      <c r="M191" s="117"/>
    </row>
    <row r="192" spans="1:13" ht="12.75">
      <c r="A192" s="4"/>
      <c r="B192" s="33" t="s">
        <v>32</v>
      </c>
      <c r="C192" s="23"/>
      <c r="D192" s="23" t="s">
        <v>33</v>
      </c>
      <c r="E192" s="23" t="s">
        <v>34</v>
      </c>
      <c r="F192" s="23" t="s">
        <v>35</v>
      </c>
      <c r="G192" s="33" t="s">
        <v>36</v>
      </c>
      <c r="H192" s="33" t="s">
        <v>37</v>
      </c>
      <c r="I192" s="33" t="s">
        <v>38</v>
      </c>
      <c r="J192" s="99" t="s">
        <v>39</v>
      </c>
      <c r="K192" s="117"/>
      <c r="L192" s="117"/>
      <c r="M192" s="117"/>
    </row>
    <row r="193" spans="1:13" ht="12.75">
      <c r="A193" s="4"/>
      <c r="B193" s="57" t="s">
        <v>790</v>
      </c>
      <c r="C193" s="35"/>
      <c r="D193" s="35"/>
      <c r="E193" s="35"/>
      <c r="F193" s="35"/>
      <c r="G193" s="34" t="s">
        <v>41</v>
      </c>
      <c r="H193" s="22"/>
      <c r="I193" s="59">
        <f>HYPERLINK("MultimediaRecord!MM_IPAddressSetOrRangeOrMask","IPAddressSetOrRangeOrMask")</f>
        <v>0</v>
      </c>
      <c r="J193" s="99"/>
      <c r="K193" s="117"/>
      <c r="L193" s="117" t="s">
        <v>791</v>
      </c>
      <c r="M193" s="117"/>
    </row>
    <row r="194" spans="1:13" ht="12.75">
      <c r="A194" s="4"/>
      <c r="B194" s="57" t="s">
        <v>792</v>
      </c>
      <c r="C194" s="35"/>
      <c r="D194" s="35"/>
      <c r="E194" s="35"/>
      <c r="F194" s="35"/>
      <c r="G194" s="34" t="s">
        <v>41</v>
      </c>
      <c r="H194" s="22"/>
      <c r="I194" s="22" t="s">
        <v>793</v>
      </c>
      <c r="J194" s="99"/>
      <c r="K194" s="117"/>
      <c r="L194" s="118">
        <v>53235</v>
      </c>
      <c r="M194" s="117"/>
    </row>
    <row r="195" spans="1:13" ht="12.75">
      <c r="A195" s="4"/>
      <c r="B195" s="57" t="s">
        <v>794</v>
      </c>
      <c r="C195" s="35"/>
      <c r="D195" s="35"/>
      <c r="E195" s="35"/>
      <c r="F195" s="35"/>
      <c r="G195" s="34" t="s">
        <v>41</v>
      </c>
      <c r="H195" s="22"/>
      <c r="I195" s="22"/>
      <c r="J195" s="99"/>
      <c r="K195" s="117"/>
      <c r="L195" s="117"/>
      <c r="M195" s="117"/>
    </row>
    <row r="196" spans="1:13" ht="12.75">
      <c r="A196" s="4"/>
      <c r="B196" s="122" t="s">
        <v>536</v>
      </c>
      <c r="C196" s="35"/>
      <c r="D196" s="35"/>
      <c r="E196" s="35"/>
      <c r="F196" s="35"/>
      <c r="G196" s="34" t="s">
        <v>41</v>
      </c>
      <c r="H196" s="22"/>
      <c r="I196" s="22"/>
      <c r="J196" s="99"/>
      <c r="K196" s="117"/>
      <c r="L196" s="117" t="s">
        <v>795</v>
      </c>
      <c r="M196" s="117"/>
    </row>
    <row r="197" spans="1:13" ht="12.75">
      <c r="A197" s="4"/>
      <c r="B197" s="122" t="s">
        <v>796</v>
      </c>
      <c r="C197" s="35"/>
      <c r="D197" s="35"/>
      <c r="E197" s="35"/>
      <c r="F197" s="35"/>
      <c r="G197" s="34" t="s">
        <v>41</v>
      </c>
      <c r="H197" s="22"/>
      <c r="I197" s="22"/>
      <c r="J197" s="99"/>
      <c r="K197" s="117"/>
      <c r="L197" s="117"/>
      <c r="M197" s="117"/>
    </row>
    <row r="198" spans="1:13" ht="12.75">
      <c r="A198" s="4"/>
      <c r="B198" s="122" t="s">
        <v>797</v>
      </c>
      <c r="C198" s="35"/>
      <c r="D198" s="35"/>
      <c r="E198" s="35"/>
      <c r="F198" s="35"/>
      <c r="G198" s="34" t="s">
        <v>41</v>
      </c>
      <c r="H198" s="22"/>
      <c r="I198" s="22"/>
      <c r="J198" s="99"/>
      <c r="K198" s="117"/>
      <c r="L198" s="117"/>
      <c r="M198" s="117"/>
    </row>
    <row r="199" spans="1:13" ht="12.75">
      <c r="A199" s="4"/>
      <c r="B199" s="57" t="s">
        <v>798</v>
      </c>
      <c r="C199" s="35"/>
      <c r="D199" s="35"/>
      <c r="E199" s="35"/>
      <c r="F199" s="35"/>
      <c r="G199" s="34" t="s">
        <v>41</v>
      </c>
      <c r="H199" s="22"/>
      <c r="I199" s="59">
        <f>HYPERLINK("MultimediaRecord!MM_AssignedTime_TimeSpan","TimeSpan")</f>
        <v>0</v>
      </c>
      <c r="J199" s="99"/>
      <c r="K199" s="117"/>
      <c r="L199" s="117" t="s">
        <v>189</v>
      </c>
      <c r="M199" s="117"/>
    </row>
    <row r="200" spans="1:13" ht="23.25">
      <c r="A200" s="4"/>
      <c r="B200" s="57" t="s">
        <v>799</v>
      </c>
      <c r="C200" s="35"/>
      <c r="D200" s="35"/>
      <c r="E200" s="35"/>
      <c r="F200" s="35"/>
      <c r="G200" s="34" t="s">
        <v>41</v>
      </c>
      <c r="H200" s="22"/>
      <c r="I200" s="59">
        <f>HYPERLINK("MultimediaRecord!MM_destinationAddress_IPAddress","IPAddress")</f>
        <v>0</v>
      </c>
      <c r="J200" s="99"/>
      <c r="K200" s="117"/>
      <c r="L200" s="117" t="s">
        <v>800</v>
      </c>
      <c r="M200" s="117"/>
    </row>
    <row r="201" spans="1:13" ht="71.25" customHeight="1">
      <c r="A201" s="4"/>
      <c r="B201" s="57" t="s">
        <v>801</v>
      </c>
      <c r="C201" s="35"/>
      <c r="D201" s="35"/>
      <c r="E201" s="35"/>
      <c r="F201" s="35"/>
      <c r="G201" s="34" t="s">
        <v>41</v>
      </c>
      <c r="H201" s="22"/>
      <c r="I201" s="89" t="s">
        <v>802</v>
      </c>
      <c r="J201" s="99"/>
      <c r="K201" s="117"/>
      <c r="L201" s="117" t="s">
        <v>86</v>
      </c>
      <c r="M201" s="117"/>
    </row>
    <row r="202" spans="2:13" ht="14.25" customHeight="1">
      <c r="B202" s="10"/>
      <c r="C202" s="10"/>
      <c r="D202" s="10"/>
      <c r="E202" s="10"/>
      <c r="F202" s="10"/>
      <c r="G202" s="10"/>
      <c r="H202" s="10"/>
      <c r="I202" s="29"/>
      <c r="J202" s="29"/>
      <c r="K202" s="117"/>
      <c r="L202" s="117"/>
      <c r="M202" s="117"/>
    </row>
    <row r="203" spans="1:13" ht="12.75">
      <c r="A203" s="4"/>
      <c r="B203" s="30" t="s">
        <v>803</v>
      </c>
      <c r="C203" s="19" t="s">
        <v>28</v>
      </c>
      <c r="D203" s="19"/>
      <c r="E203" s="19"/>
      <c r="F203" s="19"/>
      <c r="G203" s="31" t="s">
        <v>29</v>
      </c>
      <c r="H203" s="31"/>
      <c r="I203" s="32"/>
      <c r="J203" s="13"/>
      <c r="K203" s="117"/>
      <c r="L203" s="117"/>
      <c r="M203" s="117"/>
    </row>
    <row r="204" spans="1:13" ht="12.75">
      <c r="A204" s="4"/>
      <c r="B204" s="33" t="s">
        <v>32</v>
      </c>
      <c r="C204" s="23"/>
      <c r="D204" s="23" t="s">
        <v>33</v>
      </c>
      <c r="E204" s="23" t="s">
        <v>34</v>
      </c>
      <c r="F204" s="23" t="s">
        <v>35</v>
      </c>
      <c r="G204" s="33" t="s">
        <v>36</v>
      </c>
      <c r="H204" s="33" t="s">
        <v>37</v>
      </c>
      <c r="I204" s="33" t="s">
        <v>38</v>
      </c>
      <c r="J204" s="99" t="s">
        <v>39</v>
      </c>
      <c r="K204" s="117"/>
      <c r="L204" s="117"/>
      <c r="M204" s="117"/>
    </row>
    <row r="205" spans="1:13" ht="12.75">
      <c r="A205" s="4"/>
      <c r="B205" s="112" t="s">
        <v>804</v>
      </c>
      <c r="C205" s="35"/>
      <c r="D205" s="35"/>
      <c r="E205" s="35"/>
      <c r="F205" s="35"/>
      <c r="G205" s="34" t="s">
        <v>41</v>
      </c>
      <c r="H205" s="22"/>
      <c r="I205" s="59">
        <f>HYPERLINK("MultimediaRecord!MM_IPASOROM_IPAddress","IPAddress")</f>
        <v>0</v>
      </c>
      <c r="J205" s="99"/>
      <c r="K205" s="117"/>
      <c r="L205" s="117" t="s">
        <v>600</v>
      </c>
      <c r="M205" s="117"/>
    </row>
    <row r="206" spans="1:13" ht="12.75">
      <c r="A206" s="4"/>
      <c r="B206" s="112" t="s">
        <v>805</v>
      </c>
      <c r="C206" s="35"/>
      <c r="D206" s="35"/>
      <c r="E206" s="35"/>
      <c r="F206" s="35"/>
      <c r="G206" s="34" t="s">
        <v>41</v>
      </c>
      <c r="H206" s="22"/>
      <c r="I206" s="59">
        <f>HYPERLINK("MultimediaRecord!MM_IPRange","IPRange")</f>
        <v>0</v>
      </c>
      <c r="J206" s="99"/>
      <c r="K206" s="117"/>
      <c r="L206" s="117" t="s">
        <v>806</v>
      </c>
      <c r="M206" s="117"/>
    </row>
    <row r="207" spans="1:13" ht="12.75">
      <c r="A207" s="4"/>
      <c r="B207" s="112" t="s">
        <v>807</v>
      </c>
      <c r="C207" s="35"/>
      <c r="D207" s="35"/>
      <c r="E207" s="35"/>
      <c r="F207" s="35"/>
      <c r="G207" s="34" t="s">
        <v>41</v>
      </c>
      <c r="H207" s="22"/>
      <c r="I207" s="59">
        <f>HYPERLINK("MultimediaRecord!MM_IPMask","IPMask")</f>
        <v>0</v>
      </c>
      <c r="J207" s="99"/>
      <c r="K207" s="117"/>
      <c r="L207" s="117" t="s">
        <v>808</v>
      </c>
      <c r="M207" s="117"/>
    </row>
    <row r="208" spans="2:13" ht="14.25" customHeight="1">
      <c r="B208" s="10"/>
      <c r="C208" s="10"/>
      <c r="D208" s="10"/>
      <c r="E208" s="10"/>
      <c r="F208" s="10"/>
      <c r="G208" s="10"/>
      <c r="H208" s="10"/>
      <c r="I208" s="29"/>
      <c r="J208" s="29"/>
      <c r="K208" s="117"/>
      <c r="L208" s="117"/>
      <c r="M208" s="117"/>
    </row>
    <row r="209" spans="1:13" ht="12.75">
      <c r="A209" s="4"/>
      <c r="B209" s="30" t="s">
        <v>809</v>
      </c>
      <c r="C209" s="19" t="s">
        <v>28</v>
      </c>
      <c r="D209" s="19"/>
      <c r="E209" s="19"/>
      <c r="F209" s="19"/>
      <c r="G209" s="31" t="s">
        <v>29</v>
      </c>
      <c r="H209" s="31"/>
      <c r="I209" s="32"/>
      <c r="J209" s="13"/>
      <c r="K209" s="117"/>
      <c r="L209" s="117"/>
      <c r="M209" s="117"/>
    </row>
    <row r="210" spans="1:13" ht="12.75">
      <c r="A210" s="4"/>
      <c r="B210" s="33" t="s">
        <v>32</v>
      </c>
      <c r="C210" s="23"/>
      <c r="D210" s="23" t="s">
        <v>33</v>
      </c>
      <c r="E210" s="23" t="s">
        <v>34</v>
      </c>
      <c r="F210" s="23" t="s">
        <v>35</v>
      </c>
      <c r="G210" s="33" t="s">
        <v>36</v>
      </c>
      <c r="H210" s="33" t="s">
        <v>37</v>
      </c>
      <c r="I210" s="33" t="s">
        <v>38</v>
      </c>
      <c r="J210" s="99" t="s">
        <v>39</v>
      </c>
      <c r="K210" s="117"/>
      <c r="L210" s="117"/>
      <c r="M210" s="117"/>
    </row>
    <row r="211" spans="1:13" ht="12.75">
      <c r="A211" s="4"/>
      <c r="B211" s="57" t="s">
        <v>621</v>
      </c>
      <c r="C211" s="35"/>
      <c r="D211" s="35"/>
      <c r="E211" s="35"/>
      <c r="F211" s="35"/>
      <c r="G211" s="34" t="s">
        <v>41</v>
      </c>
      <c r="H211" s="22"/>
      <c r="I211" s="22" t="s">
        <v>622</v>
      </c>
      <c r="J211" s="99"/>
      <c r="K211" s="117"/>
      <c r="L211" s="117" t="s">
        <v>810</v>
      </c>
      <c r="M211" s="117"/>
    </row>
    <row r="212" spans="1:13" ht="12.75">
      <c r="A212" s="4"/>
      <c r="B212" s="57" t="s">
        <v>624</v>
      </c>
      <c r="C212" s="35"/>
      <c r="D212" s="35"/>
      <c r="E212" s="35"/>
      <c r="F212" s="35"/>
      <c r="G212" s="34" t="s">
        <v>41</v>
      </c>
      <c r="H212" s="22"/>
      <c r="I212" s="22" t="s">
        <v>625</v>
      </c>
      <c r="J212" s="99"/>
      <c r="K212" s="117"/>
      <c r="L212" s="117" t="s">
        <v>86</v>
      </c>
      <c r="M212" s="117"/>
    </row>
    <row r="213" spans="1:13" ht="12.75">
      <c r="A213" s="4"/>
      <c r="B213" s="57" t="s">
        <v>626</v>
      </c>
      <c r="C213" s="35"/>
      <c r="D213" s="35"/>
      <c r="E213" s="35"/>
      <c r="F213" s="35"/>
      <c r="G213" s="34" t="s">
        <v>41</v>
      </c>
      <c r="H213" s="22"/>
      <c r="I213" s="22" t="s">
        <v>627</v>
      </c>
      <c r="J213" s="99"/>
      <c r="K213" s="117"/>
      <c r="L213" s="117" t="s">
        <v>811</v>
      </c>
      <c r="M213" s="117"/>
    </row>
    <row r="214" spans="2:13" ht="14.25" customHeight="1">
      <c r="B214" s="10"/>
      <c r="C214" s="10"/>
      <c r="D214" s="10"/>
      <c r="E214" s="10"/>
      <c r="F214" s="10"/>
      <c r="G214" s="10"/>
      <c r="H214" s="10"/>
      <c r="I214" s="29"/>
      <c r="J214" s="29"/>
      <c r="K214" s="117"/>
      <c r="L214" s="117"/>
      <c r="M214" s="117"/>
    </row>
    <row r="215" spans="1:13" ht="12.75">
      <c r="A215" s="4"/>
      <c r="B215" s="30" t="s">
        <v>812</v>
      </c>
      <c r="C215" s="19" t="s">
        <v>28</v>
      </c>
      <c r="D215" s="19"/>
      <c r="E215" s="19"/>
      <c r="F215" s="19"/>
      <c r="G215" s="31" t="s">
        <v>29</v>
      </c>
      <c r="H215" s="31"/>
      <c r="I215" s="32"/>
      <c r="J215" s="13"/>
      <c r="K215" s="117"/>
      <c r="L215" s="117"/>
      <c r="M215" s="117"/>
    </row>
    <row r="216" spans="1:13" ht="12.75">
      <c r="A216" s="4"/>
      <c r="B216" s="33" t="s">
        <v>32</v>
      </c>
      <c r="C216" s="23"/>
      <c r="D216" s="23" t="s">
        <v>33</v>
      </c>
      <c r="E216" s="23" t="s">
        <v>34</v>
      </c>
      <c r="F216" s="23" t="s">
        <v>35</v>
      </c>
      <c r="G216" s="33" t="s">
        <v>36</v>
      </c>
      <c r="H216" s="33" t="s">
        <v>37</v>
      </c>
      <c r="I216" s="33" t="s">
        <v>38</v>
      </c>
      <c r="J216" s="99" t="s">
        <v>39</v>
      </c>
      <c r="K216" s="117"/>
      <c r="L216" s="117"/>
      <c r="M216" s="117"/>
    </row>
    <row r="217" spans="1:13" ht="12.75">
      <c r="A217" s="4"/>
      <c r="B217" s="57" t="s">
        <v>813</v>
      </c>
      <c r="C217" s="35"/>
      <c r="D217" s="35"/>
      <c r="E217" s="35"/>
      <c r="F217" s="35"/>
      <c r="G217" s="34" t="s">
        <v>41</v>
      </c>
      <c r="H217" s="22"/>
      <c r="I217" s="59">
        <f>HYPERLINK("MultimediaRecord!MM_IPRange_IPAddress","IPAddress")</f>
        <v>0</v>
      </c>
      <c r="J217" s="99"/>
      <c r="K217" s="117"/>
      <c r="L217" s="117" t="s">
        <v>600</v>
      </c>
      <c r="M217" s="117"/>
    </row>
    <row r="218" spans="1:13" ht="12.75">
      <c r="A218" s="4"/>
      <c r="B218" s="57" t="s">
        <v>814</v>
      </c>
      <c r="C218" s="35"/>
      <c r="D218" s="35"/>
      <c r="E218" s="35"/>
      <c r="F218" s="35"/>
      <c r="G218" s="34" t="s">
        <v>41</v>
      </c>
      <c r="H218" s="22"/>
      <c r="I218" s="22" t="s">
        <v>815</v>
      </c>
      <c r="J218" s="99"/>
      <c r="K218" s="117"/>
      <c r="L218" s="118">
        <v>24</v>
      </c>
      <c r="M218" s="117"/>
    </row>
    <row r="219" spans="2:13" ht="14.25" customHeight="1">
      <c r="B219" s="10"/>
      <c r="C219" s="10"/>
      <c r="D219" s="10"/>
      <c r="E219" s="10"/>
      <c r="F219" s="10"/>
      <c r="G219" s="10"/>
      <c r="H219" s="10"/>
      <c r="I219" s="29"/>
      <c r="J219" s="29"/>
      <c r="K219" s="117"/>
      <c r="L219" s="117"/>
      <c r="M219" s="117"/>
    </row>
    <row r="220" spans="1:13" ht="12.75">
      <c r="A220" s="4"/>
      <c r="B220" s="30" t="s">
        <v>816</v>
      </c>
      <c r="C220" s="19" t="s">
        <v>28</v>
      </c>
      <c r="D220" s="19"/>
      <c r="E220" s="19"/>
      <c r="F220" s="19"/>
      <c r="G220" s="31" t="s">
        <v>29</v>
      </c>
      <c r="H220" s="31"/>
      <c r="I220" s="32"/>
      <c r="J220" s="13"/>
      <c r="K220" s="117"/>
      <c r="L220" s="117"/>
      <c r="M220" s="117"/>
    </row>
    <row r="221" spans="1:13" ht="12.75">
      <c r="A221" s="4"/>
      <c r="B221" s="33" t="s">
        <v>32</v>
      </c>
      <c r="C221" s="23"/>
      <c r="D221" s="23" t="s">
        <v>33</v>
      </c>
      <c r="E221" s="23" t="s">
        <v>34</v>
      </c>
      <c r="F221" s="23" t="s">
        <v>35</v>
      </c>
      <c r="G221" s="33" t="s">
        <v>36</v>
      </c>
      <c r="H221" s="33" t="s">
        <v>37</v>
      </c>
      <c r="I221" s="33" t="s">
        <v>38</v>
      </c>
      <c r="J221" s="99" t="s">
        <v>39</v>
      </c>
      <c r="K221" s="117"/>
      <c r="L221" s="117"/>
      <c r="M221" s="117"/>
    </row>
    <row r="222" spans="1:13" ht="12.75">
      <c r="A222" s="4"/>
      <c r="B222" s="57" t="s">
        <v>621</v>
      </c>
      <c r="C222" s="35"/>
      <c r="D222" s="35"/>
      <c r="E222" s="35"/>
      <c r="F222" s="35"/>
      <c r="G222" s="34" t="s">
        <v>41</v>
      </c>
      <c r="H222" s="22"/>
      <c r="I222" s="22" t="s">
        <v>622</v>
      </c>
      <c r="J222" s="99"/>
      <c r="K222" s="117"/>
      <c r="L222" s="117" t="s">
        <v>817</v>
      </c>
      <c r="M222" s="117"/>
    </row>
    <row r="223" spans="1:13" ht="12.75">
      <c r="A223" s="4"/>
      <c r="B223" s="57" t="s">
        <v>624</v>
      </c>
      <c r="C223" s="35"/>
      <c r="D223" s="35"/>
      <c r="E223" s="35"/>
      <c r="F223" s="35"/>
      <c r="G223" s="34" t="s">
        <v>41</v>
      </c>
      <c r="H223" s="22"/>
      <c r="I223" s="22" t="s">
        <v>625</v>
      </c>
      <c r="J223" s="99"/>
      <c r="K223" s="117"/>
      <c r="L223" s="117" t="s">
        <v>86</v>
      </c>
      <c r="M223" s="117"/>
    </row>
    <row r="224" spans="1:13" ht="12.75">
      <c r="A224" s="4"/>
      <c r="B224" s="57" t="s">
        <v>626</v>
      </c>
      <c r="C224" s="35"/>
      <c r="D224" s="35"/>
      <c r="E224" s="35"/>
      <c r="F224" s="35"/>
      <c r="G224" s="34" t="s">
        <v>41</v>
      </c>
      <c r="H224" s="22"/>
      <c r="I224" s="22" t="s">
        <v>627</v>
      </c>
      <c r="J224" s="99"/>
      <c r="K224" s="117"/>
      <c r="L224" s="117" t="s">
        <v>811</v>
      </c>
      <c r="M224" s="117"/>
    </row>
    <row r="225" spans="2:13" ht="14.25" customHeight="1">
      <c r="B225" s="10"/>
      <c r="C225" s="10"/>
      <c r="D225" s="10"/>
      <c r="E225" s="10"/>
      <c r="F225" s="10"/>
      <c r="G225" s="10"/>
      <c r="H225" s="10"/>
      <c r="I225" s="29"/>
      <c r="J225" s="29"/>
      <c r="K225" s="117"/>
      <c r="L225" s="117"/>
      <c r="M225" s="117"/>
    </row>
    <row r="226" spans="1:13" ht="12.75">
      <c r="A226" s="4"/>
      <c r="B226" s="30" t="s">
        <v>818</v>
      </c>
      <c r="C226" s="19" t="s">
        <v>28</v>
      </c>
      <c r="D226" s="19"/>
      <c r="E226" s="19"/>
      <c r="F226" s="19"/>
      <c r="G226" s="31" t="s">
        <v>29</v>
      </c>
      <c r="H226" s="31"/>
      <c r="I226" s="32"/>
      <c r="J226" s="13"/>
      <c r="K226" s="117"/>
      <c r="L226" s="117"/>
      <c r="M226" s="117"/>
    </row>
    <row r="227" spans="1:13" ht="12.75">
      <c r="A227" s="4"/>
      <c r="B227" s="33" t="s">
        <v>32</v>
      </c>
      <c r="C227" s="23"/>
      <c r="D227" s="23" t="s">
        <v>33</v>
      </c>
      <c r="E227" s="23" t="s">
        <v>34</v>
      </c>
      <c r="F227" s="23" t="s">
        <v>35</v>
      </c>
      <c r="G227" s="33" t="s">
        <v>36</v>
      </c>
      <c r="H227" s="33" t="s">
        <v>37</v>
      </c>
      <c r="I227" s="33" t="s">
        <v>38</v>
      </c>
      <c r="J227" s="99" t="s">
        <v>39</v>
      </c>
      <c r="K227" s="117"/>
      <c r="L227" s="117"/>
      <c r="M227" s="117"/>
    </row>
    <row r="228" spans="1:13" ht="12.75">
      <c r="A228" s="4"/>
      <c r="B228" s="57" t="s">
        <v>819</v>
      </c>
      <c r="C228" s="35"/>
      <c r="D228" s="35"/>
      <c r="E228" s="35"/>
      <c r="F228" s="35"/>
      <c r="G228" s="34" t="s">
        <v>41</v>
      </c>
      <c r="H228" s="22"/>
      <c r="I228" s="59">
        <f>HYPERLINK("MultimediaRecord!MM_IPMask_base_IPAddress","IPAddress")</f>
        <v>0</v>
      </c>
      <c r="J228" s="99"/>
      <c r="K228" s="117"/>
      <c r="L228" s="117" t="s">
        <v>600</v>
      </c>
      <c r="M228" s="117"/>
    </row>
    <row r="229" spans="1:13" ht="12.75">
      <c r="A229" s="4"/>
      <c r="B229" s="57" t="s">
        <v>820</v>
      </c>
      <c r="C229" s="35"/>
      <c r="D229" s="35"/>
      <c r="E229" s="35"/>
      <c r="F229" s="35"/>
      <c r="G229" s="34" t="s">
        <v>41</v>
      </c>
      <c r="H229" s="22"/>
      <c r="I229" s="59">
        <f>HYPERLINK("MultimediaRecord!MM_IPMask_mask_IPAddress","IPAddress")</f>
        <v>0</v>
      </c>
      <c r="J229" s="99"/>
      <c r="K229" s="117"/>
      <c r="L229" s="117" t="s">
        <v>600</v>
      </c>
      <c r="M229" s="117"/>
    </row>
    <row r="230" spans="2:13" ht="14.25" customHeight="1">
      <c r="B230" s="10"/>
      <c r="C230" s="10"/>
      <c r="D230" s="10"/>
      <c r="E230" s="10"/>
      <c r="F230" s="10"/>
      <c r="G230" s="10"/>
      <c r="H230" s="10"/>
      <c r="I230" s="29"/>
      <c r="J230" s="29"/>
      <c r="K230" s="117"/>
      <c r="L230" s="117"/>
      <c r="M230" s="117"/>
    </row>
    <row r="231" spans="1:13" ht="12.75">
      <c r="A231" s="4"/>
      <c r="B231" s="30" t="s">
        <v>821</v>
      </c>
      <c r="C231" s="19" t="s">
        <v>28</v>
      </c>
      <c r="D231" s="19"/>
      <c r="E231" s="19"/>
      <c r="F231" s="19"/>
      <c r="G231" s="31" t="s">
        <v>29</v>
      </c>
      <c r="H231" s="31"/>
      <c r="I231" s="32"/>
      <c r="J231" s="13"/>
      <c r="K231" s="117"/>
      <c r="L231" s="117"/>
      <c r="M231" s="117"/>
    </row>
    <row r="232" spans="1:13" ht="12.75">
      <c r="A232" s="4"/>
      <c r="B232" s="33" t="s">
        <v>32</v>
      </c>
      <c r="C232" s="23"/>
      <c r="D232" s="23" t="s">
        <v>33</v>
      </c>
      <c r="E232" s="23" t="s">
        <v>34</v>
      </c>
      <c r="F232" s="23" t="s">
        <v>35</v>
      </c>
      <c r="G232" s="33" t="s">
        <v>36</v>
      </c>
      <c r="H232" s="33" t="s">
        <v>37</v>
      </c>
      <c r="I232" s="33" t="s">
        <v>38</v>
      </c>
      <c r="J232" s="99" t="s">
        <v>39</v>
      </c>
      <c r="K232" s="117"/>
      <c r="L232" s="117"/>
      <c r="M232" s="117"/>
    </row>
    <row r="233" spans="1:13" ht="12.75">
      <c r="A233" s="4"/>
      <c r="B233" s="57" t="s">
        <v>621</v>
      </c>
      <c r="C233" s="35"/>
      <c r="D233" s="35"/>
      <c r="E233" s="35"/>
      <c r="F233" s="35"/>
      <c r="G233" s="34" t="s">
        <v>41</v>
      </c>
      <c r="H233" s="22"/>
      <c r="I233" s="22" t="s">
        <v>622</v>
      </c>
      <c r="J233" s="99"/>
      <c r="K233" s="117"/>
      <c r="L233" s="117" t="s">
        <v>817</v>
      </c>
      <c r="M233" s="117"/>
    </row>
    <row r="234" spans="1:13" ht="12.75">
      <c r="A234" s="4"/>
      <c r="B234" s="57" t="s">
        <v>624</v>
      </c>
      <c r="C234" s="35"/>
      <c r="D234" s="35"/>
      <c r="E234" s="35"/>
      <c r="F234" s="35"/>
      <c r="G234" s="34" t="s">
        <v>41</v>
      </c>
      <c r="H234" s="22"/>
      <c r="I234" s="22" t="s">
        <v>625</v>
      </c>
      <c r="J234" s="99"/>
      <c r="K234" s="117"/>
      <c r="L234" s="117" t="s">
        <v>86</v>
      </c>
      <c r="M234" s="117"/>
    </row>
    <row r="235" spans="1:13" ht="12.75">
      <c r="A235" s="4"/>
      <c r="B235" s="57" t="s">
        <v>626</v>
      </c>
      <c r="C235" s="35"/>
      <c r="D235" s="35"/>
      <c r="E235" s="35"/>
      <c r="F235" s="35"/>
      <c r="G235" s="34" t="s">
        <v>41</v>
      </c>
      <c r="H235" s="22"/>
      <c r="I235" s="22" t="s">
        <v>627</v>
      </c>
      <c r="J235" s="99"/>
      <c r="K235" s="117"/>
      <c r="L235" s="117" t="s">
        <v>822</v>
      </c>
      <c r="M235" s="117"/>
    </row>
    <row r="236" spans="2:13" ht="14.25" customHeight="1">
      <c r="B236" s="10"/>
      <c r="C236" s="10"/>
      <c r="D236" s="10"/>
      <c r="E236" s="10"/>
      <c r="F236" s="10"/>
      <c r="G236" s="10"/>
      <c r="H236" s="10"/>
      <c r="I236" s="29"/>
      <c r="J236" s="29"/>
      <c r="K236" s="117"/>
      <c r="L236" s="117"/>
      <c r="M236" s="117"/>
    </row>
    <row r="237" spans="1:13" ht="12.75">
      <c r="A237" s="4"/>
      <c r="B237" s="30" t="s">
        <v>823</v>
      </c>
      <c r="C237" s="19" t="s">
        <v>28</v>
      </c>
      <c r="D237" s="19"/>
      <c r="E237" s="19"/>
      <c r="F237" s="19"/>
      <c r="G237" s="31" t="s">
        <v>29</v>
      </c>
      <c r="H237" s="31"/>
      <c r="I237" s="32"/>
      <c r="J237" s="13"/>
      <c r="K237" s="117"/>
      <c r="L237" s="117"/>
      <c r="M237" s="117"/>
    </row>
    <row r="238" spans="1:13" ht="12.75">
      <c r="A238" s="4"/>
      <c r="B238" s="33" t="s">
        <v>32</v>
      </c>
      <c r="C238" s="23"/>
      <c r="D238" s="23" t="s">
        <v>33</v>
      </c>
      <c r="E238" s="23" t="s">
        <v>34</v>
      </c>
      <c r="F238" s="23" t="s">
        <v>35</v>
      </c>
      <c r="G238" s="33" t="s">
        <v>36</v>
      </c>
      <c r="H238" s="33" t="s">
        <v>37</v>
      </c>
      <c r="I238" s="33" t="s">
        <v>38</v>
      </c>
      <c r="J238" s="99" t="s">
        <v>39</v>
      </c>
      <c r="K238" s="117"/>
      <c r="L238" s="117"/>
      <c r="M238" s="117"/>
    </row>
    <row r="239" spans="1:13" ht="23.25">
      <c r="A239" s="4"/>
      <c r="B239" s="57" t="s">
        <v>621</v>
      </c>
      <c r="C239" s="35"/>
      <c r="D239" s="35"/>
      <c r="E239" s="35"/>
      <c r="F239" s="35"/>
      <c r="G239" s="34" t="s">
        <v>41</v>
      </c>
      <c r="H239" s="22"/>
      <c r="I239" s="22" t="s">
        <v>622</v>
      </c>
      <c r="J239" s="99"/>
      <c r="K239" s="117"/>
      <c r="L239" s="117" t="s">
        <v>824</v>
      </c>
      <c r="M239" s="117"/>
    </row>
    <row r="240" spans="1:13" ht="12.75">
      <c r="A240" s="4"/>
      <c r="B240" s="57" t="s">
        <v>624</v>
      </c>
      <c r="C240" s="35"/>
      <c r="D240" s="35"/>
      <c r="E240" s="35"/>
      <c r="F240" s="35"/>
      <c r="G240" s="34" t="s">
        <v>41</v>
      </c>
      <c r="H240" s="22"/>
      <c r="I240" s="22" t="s">
        <v>625</v>
      </c>
      <c r="J240" s="99"/>
      <c r="K240" s="117"/>
      <c r="L240" s="117" t="s">
        <v>86</v>
      </c>
      <c r="M240" s="117"/>
    </row>
    <row r="241" spans="1:13" ht="12.75">
      <c r="A241" s="4"/>
      <c r="B241" s="57" t="s">
        <v>626</v>
      </c>
      <c r="C241" s="35"/>
      <c r="D241" s="35"/>
      <c r="E241" s="35"/>
      <c r="F241" s="35"/>
      <c r="G241" s="34" t="s">
        <v>41</v>
      </c>
      <c r="H241" s="22"/>
      <c r="I241" s="22" t="s">
        <v>627</v>
      </c>
      <c r="J241" s="99"/>
      <c r="K241" s="117"/>
      <c r="L241" s="117" t="s">
        <v>825</v>
      </c>
      <c r="M241" s="117"/>
    </row>
    <row r="242" spans="2:13" ht="14.25" customHeight="1">
      <c r="B242" s="10"/>
      <c r="C242" s="10"/>
      <c r="D242" s="10"/>
      <c r="E242" s="10"/>
      <c r="F242" s="10"/>
      <c r="G242" s="10"/>
      <c r="H242" s="10"/>
      <c r="I242" s="29"/>
      <c r="J242" s="29"/>
      <c r="K242" s="117"/>
      <c r="L242" s="117"/>
      <c r="M242" s="117"/>
    </row>
    <row r="243" spans="1:13" ht="12.75">
      <c r="A243" s="4"/>
      <c r="B243" s="30" t="s">
        <v>826</v>
      </c>
      <c r="C243" s="19" t="s">
        <v>28</v>
      </c>
      <c r="D243" s="19"/>
      <c r="E243" s="19"/>
      <c r="F243" s="19"/>
      <c r="G243" s="31" t="s">
        <v>29</v>
      </c>
      <c r="H243" s="31"/>
      <c r="I243" s="32"/>
      <c r="J243" s="13"/>
      <c r="K243" s="117"/>
      <c r="L243" s="117"/>
      <c r="M243" s="117"/>
    </row>
    <row r="244" spans="1:13" ht="12.75">
      <c r="A244" s="4"/>
      <c r="B244" s="33" t="s">
        <v>32</v>
      </c>
      <c r="C244" s="23"/>
      <c r="D244" s="23" t="s">
        <v>33</v>
      </c>
      <c r="E244" s="23" t="s">
        <v>34</v>
      </c>
      <c r="F244" s="23" t="s">
        <v>35</v>
      </c>
      <c r="G244" s="33" t="s">
        <v>36</v>
      </c>
      <c r="H244" s="33" t="s">
        <v>37</v>
      </c>
      <c r="I244" s="33" t="s">
        <v>38</v>
      </c>
      <c r="J244" s="99" t="s">
        <v>39</v>
      </c>
      <c r="K244" s="117"/>
      <c r="L244" s="117"/>
      <c r="M244" s="117"/>
    </row>
    <row r="245" spans="1:13" ht="13.5">
      <c r="A245" s="4"/>
      <c r="B245" s="57" t="s">
        <v>106</v>
      </c>
      <c r="C245" s="25"/>
      <c r="D245" s="25"/>
      <c r="E245" s="25"/>
      <c r="F245" s="25"/>
      <c r="G245" s="24" t="s">
        <v>41</v>
      </c>
      <c r="H245" s="24"/>
      <c r="I245" s="24"/>
      <c r="J245" s="101"/>
      <c r="K245" s="117"/>
      <c r="L245" s="117" t="s">
        <v>827</v>
      </c>
      <c r="M245" s="117"/>
    </row>
    <row r="246" spans="1:13" ht="13.5">
      <c r="A246" s="4"/>
      <c r="B246" s="57" t="s">
        <v>108</v>
      </c>
      <c r="C246" s="25"/>
      <c r="D246" s="25"/>
      <c r="E246" s="25"/>
      <c r="F246" s="25"/>
      <c r="G246" s="24" t="s">
        <v>41</v>
      </c>
      <c r="H246" s="24"/>
      <c r="I246" s="24"/>
      <c r="J246" s="101"/>
      <c r="K246" s="117"/>
      <c r="L246" s="117" t="s">
        <v>828</v>
      </c>
      <c r="M246" s="117"/>
    </row>
    <row r="247" spans="1:13" ht="13.5">
      <c r="A247" s="4"/>
      <c r="B247" s="67" t="s">
        <v>109</v>
      </c>
      <c r="C247" s="26"/>
      <c r="D247" s="26"/>
      <c r="E247" s="26"/>
      <c r="F247" s="26"/>
      <c r="G247" s="26"/>
      <c r="H247" s="26" t="s">
        <v>43</v>
      </c>
      <c r="I247" s="26"/>
      <c r="J247" s="102"/>
      <c r="K247" s="117"/>
      <c r="L247" s="117"/>
      <c r="M247" s="117"/>
    </row>
    <row r="248" spans="2:13" ht="14.25" customHeight="1">
      <c r="B248" s="10"/>
      <c r="C248" s="10"/>
      <c r="D248" s="10"/>
      <c r="E248" s="10"/>
      <c r="F248" s="10"/>
      <c r="G248" s="10"/>
      <c r="H248" s="10"/>
      <c r="I248" s="29"/>
      <c r="J248" s="29"/>
      <c r="K248" s="117"/>
      <c r="L248" s="117"/>
      <c r="M248" s="117"/>
    </row>
    <row r="249" spans="1:13" ht="12.75">
      <c r="A249" s="4"/>
      <c r="B249" s="30" t="s">
        <v>829</v>
      </c>
      <c r="C249" s="19" t="s">
        <v>28</v>
      </c>
      <c r="D249" s="19"/>
      <c r="E249" s="19"/>
      <c r="F249" s="19"/>
      <c r="G249" s="31" t="s">
        <v>29</v>
      </c>
      <c r="H249" s="31"/>
      <c r="I249" s="32"/>
      <c r="J249" s="13"/>
      <c r="K249" s="117"/>
      <c r="L249" s="117"/>
      <c r="M249" s="117"/>
    </row>
    <row r="250" spans="1:13" ht="12.75">
      <c r="A250" s="4"/>
      <c r="B250" s="33" t="s">
        <v>32</v>
      </c>
      <c r="C250" s="23"/>
      <c r="D250" s="23" t="s">
        <v>33</v>
      </c>
      <c r="E250" s="23" t="s">
        <v>34</v>
      </c>
      <c r="F250" s="23" t="s">
        <v>35</v>
      </c>
      <c r="G250" s="33" t="s">
        <v>36</v>
      </c>
      <c r="H250" s="33" t="s">
        <v>37</v>
      </c>
      <c r="I250" s="33" t="s">
        <v>38</v>
      </c>
      <c r="J250" s="99" t="s">
        <v>39</v>
      </c>
      <c r="K250" s="117"/>
      <c r="L250" s="117"/>
      <c r="M250" s="117"/>
    </row>
    <row r="251" spans="1:13" ht="12.75">
      <c r="A251" s="4"/>
      <c r="B251" s="57" t="s">
        <v>621</v>
      </c>
      <c r="C251" s="35"/>
      <c r="D251" s="35"/>
      <c r="E251" s="35"/>
      <c r="F251" s="35"/>
      <c r="G251" s="34" t="s">
        <v>41</v>
      </c>
      <c r="H251" s="22"/>
      <c r="I251" s="22" t="s">
        <v>622</v>
      </c>
      <c r="J251" s="99"/>
      <c r="K251" s="117"/>
      <c r="L251" s="117" t="s">
        <v>86</v>
      </c>
      <c r="M251" s="117"/>
    </row>
    <row r="252" spans="1:13" ht="12.75">
      <c r="A252" s="4"/>
      <c r="B252" s="57" t="s">
        <v>624</v>
      </c>
      <c r="C252" s="35"/>
      <c r="D252" s="35"/>
      <c r="E252" s="35"/>
      <c r="F252" s="35"/>
      <c r="G252" s="34" t="s">
        <v>41</v>
      </c>
      <c r="H252" s="22"/>
      <c r="I252" s="22" t="s">
        <v>625</v>
      </c>
      <c r="J252" s="99"/>
      <c r="K252" s="117"/>
      <c r="L252" s="117" t="s">
        <v>86</v>
      </c>
      <c r="M252" s="117"/>
    </row>
    <row r="253" spans="1:13" ht="12.75">
      <c r="A253" s="4"/>
      <c r="B253" s="57" t="s">
        <v>626</v>
      </c>
      <c r="C253" s="35"/>
      <c r="D253" s="35"/>
      <c r="E253" s="35"/>
      <c r="F253" s="35"/>
      <c r="G253" s="34" t="s">
        <v>41</v>
      </c>
      <c r="H253" s="22"/>
      <c r="I253" s="22" t="s">
        <v>627</v>
      </c>
      <c r="J253" s="99"/>
      <c r="K253" s="117"/>
      <c r="L253" s="117"/>
      <c r="M253" s="117"/>
    </row>
    <row r="254" spans="2:13" ht="14.25" customHeight="1">
      <c r="B254" s="10"/>
      <c r="C254" s="10"/>
      <c r="D254" s="10"/>
      <c r="E254" s="10"/>
      <c r="F254" s="10"/>
      <c r="G254" s="10"/>
      <c r="H254" s="10"/>
      <c r="I254" s="29"/>
      <c r="J254" s="29"/>
      <c r="K254" s="117"/>
      <c r="L254" s="117"/>
      <c r="M254" s="117"/>
    </row>
    <row r="255" spans="1:13" ht="12.75">
      <c r="A255" s="4"/>
      <c r="B255" s="30" t="s">
        <v>458</v>
      </c>
      <c r="C255" s="19" t="s">
        <v>28</v>
      </c>
      <c r="D255" s="19"/>
      <c r="E255" s="19"/>
      <c r="F255" s="19"/>
      <c r="G255" s="31" t="s">
        <v>29</v>
      </c>
      <c r="H255" s="31"/>
      <c r="I255" s="32"/>
      <c r="J255" s="13"/>
      <c r="K255" s="117"/>
      <c r="L255" s="117"/>
      <c r="M255" s="117"/>
    </row>
    <row r="256" spans="1:13" ht="12.75">
      <c r="A256" s="4"/>
      <c r="B256" s="33" t="s">
        <v>32</v>
      </c>
      <c r="C256" s="23"/>
      <c r="D256" s="23" t="s">
        <v>33</v>
      </c>
      <c r="E256" s="23" t="s">
        <v>34</v>
      </c>
      <c r="F256" s="23" t="s">
        <v>35</v>
      </c>
      <c r="G256" s="33" t="s">
        <v>36</v>
      </c>
      <c r="H256" s="33" t="s">
        <v>37</v>
      </c>
      <c r="I256" s="33" t="s">
        <v>38</v>
      </c>
      <c r="J256" s="99" t="s">
        <v>39</v>
      </c>
      <c r="K256" s="117"/>
      <c r="L256" s="117"/>
      <c r="M256" s="117"/>
    </row>
    <row r="257" spans="1:13" ht="13.5">
      <c r="A257" s="4"/>
      <c r="B257" s="57" t="s">
        <v>106</v>
      </c>
      <c r="C257" s="25"/>
      <c r="D257" s="25"/>
      <c r="E257" s="25"/>
      <c r="F257" s="25"/>
      <c r="G257" s="24" t="s">
        <v>41</v>
      </c>
      <c r="H257" s="24"/>
      <c r="I257" s="24"/>
      <c r="J257" s="101"/>
      <c r="K257" s="117"/>
      <c r="L257" s="117" t="s">
        <v>737</v>
      </c>
      <c r="M257" s="117"/>
    </row>
    <row r="258" spans="1:13" ht="13.5">
      <c r="A258" s="4"/>
      <c r="B258" s="57" t="s">
        <v>108</v>
      </c>
      <c r="C258" s="25"/>
      <c r="D258" s="25"/>
      <c r="E258" s="25"/>
      <c r="F258" s="25"/>
      <c r="G258" s="24" t="s">
        <v>41</v>
      </c>
      <c r="H258" s="24"/>
      <c r="I258" s="24"/>
      <c r="J258" s="101"/>
      <c r="K258" s="117"/>
      <c r="L258" s="117" t="s">
        <v>788</v>
      </c>
      <c r="M258" s="117"/>
    </row>
    <row r="259" spans="1:13" ht="13.5">
      <c r="A259" s="4"/>
      <c r="B259" s="57" t="s">
        <v>109</v>
      </c>
      <c r="C259" s="25"/>
      <c r="D259" s="25"/>
      <c r="E259" s="25"/>
      <c r="F259" s="25"/>
      <c r="G259" s="24" t="s">
        <v>41</v>
      </c>
      <c r="H259" s="24"/>
      <c r="I259" s="24"/>
      <c r="J259" s="101"/>
      <c r="K259" s="117"/>
      <c r="L259" s="118">
        <v>239</v>
      </c>
      <c r="M259" s="117"/>
    </row>
    <row r="260" spans="2:13" ht="14.25" customHeight="1">
      <c r="B260" s="10"/>
      <c r="C260" s="10"/>
      <c r="D260" s="10"/>
      <c r="E260" s="10"/>
      <c r="F260" s="10"/>
      <c r="G260" s="10"/>
      <c r="H260" s="10"/>
      <c r="I260" s="29"/>
      <c r="J260" s="29"/>
      <c r="K260" s="117"/>
      <c r="L260" s="117"/>
      <c r="M260" s="117"/>
    </row>
    <row r="261" spans="1:13" ht="12.75">
      <c r="A261" s="4"/>
      <c r="B261" s="30" t="s">
        <v>830</v>
      </c>
      <c r="C261" s="19" t="s">
        <v>28</v>
      </c>
      <c r="D261" s="19"/>
      <c r="E261" s="19"/>
      <c r="F261" s="19"/>
      <c r="G261" s="31" t="s">
        <v>29</v>
      </c>
      <c r="H261" s="31"/>
      <c r="I261" s="32"/>
      <c r="J261" s="13"/>
      <c r="K261" s="117"/>
      <c r="L261" s="117"/>
      <c r="M261" s="117"/>
    </row>
    <row r="262" spans="1:13" ht="12.75">
      <c r="A262" s="4"/>
      <c r="B262" s="33" t="s">
        <v>32</v>
      </c>
      <c r="C262" s="23"/>
      <c r="D262" s="23" t="s">
        <v>33</v>
      </c>
      <c r="E262" s="23" t="s">
        <v>34</v>
      </c>
      <c r="F262" s="23" t="s">
        <v>35</v>
      </c>
      <c r="G262" s="33" t="s">
        <v>36</v>
      </c>
      <c r="H262" s="33" t="s">
        <v>37</v>
      </c>
      <c r="I262" s="33" t="s">
        <v>38</v>
      </c>
      <c r="J262" s="99" t="s">
        <v>39</v>
      </c>
      <c r="K262" s="117"/>
      <c r="L262" s="117"/>
      <c r="M262" s="117"/>
    </row>
    <row r="263" spans="1:13" ht="13.5">
      <c r="A263" s="4"/>
      <c r="B263" s="57" t="s">
        <v>831</v>
      </c>
      <c r="C263" s="25"/>
      <c r="D263" s="25"/>
      <c r="E263" s="25"/>
      <c r="F263" s="25"/>
      <c r="G263" s="24" t="s">
        <v>41</v>
      </c>
      <c r="H263" s="24"/>
      <c r="I263" s="24"/>
      <c r="J263" s="101"/>
      <c r="K263" s="117"/>
      <c r="L263" s="117" t="s">
        <v>832</v>
      </c>
      <c r="M263" s="117"/>
    </row>
    <row r="264" spans="1:13" ht="13.5">
      <c r="A264" s="4"/>
      <c r="B264" s="57" t="s">
        <v>833</v>
      </c>
      <c r="C264" s="25"/>
      <c r="D264" s="25"/>
      <c r="E264" s="25"/>
      <c r="F264" s="25"/>
      <c r="G264" s="24" t="s">
        <v>41</v>
      </c>
      <c r="H264" s="24"/>
      <c r="I264" s="24"/>
      <c r="J264" s="101"/>
      <c r="K264" s="117"/>
      <c r="L264" s="117"/>
      <c r="M264" s="117"/>
    </row>
    <row r="265" spans="1:13" ht="13.5">
      <c r="A265" s="4"/>
      <c r="B265" s="57" t="s">
        <v>834</v>
      </c>
      <c r="C265" s="25"/>
      <c r="D265" s="25"/>
      <c r="E265" s="25"/>
      <c r="F265" s="25"/>
      <c r="G265" s="24" t="s">
        <v>41</v>
      </c>
      <c r="H265" s="24"/>
      <c r="I265" s="24"/>
      <c r="J265" s="101"/>
      <c r="K265" s="117"/>
      <c r="L265" s="117"/>
      <c r="M265" s="117"/>
    </row>
    <row r="266" spans="2:13" ht="14.25" customHeight="1">
      <c r="B266" s="10"/>
      <c r="C266" s="10"/>
      <c r="D266" s="10"/>
      <c r="E266" s="10"/>
      <c r="F266" s="10"/>
      <c r="G266" s="10"/>
      <c r="H266" s="10"/>
      <c r="I266" s="29"/>
      <c r="J266" s="29"/>
      <c r="K266" s="117"/>
      <c r="L266" s="117"/>
      <c r="M266" s="117"/>
    </row>
    <row r="267" spans="1:13" ht="12.75">
      <c r="A267" s="4"/>
      <c r="B267" s="30" t="s">
        <v>835</v>
      </c>
      <c r="C267" s="19" t="s">
        <v>28</v>
      </c>
      <c r="D267" s="19"/>
      <c r="E267" s="19"/>
      <c r="F267" s="19"/>
      <c r="G267" s="31" t="s">
        <v>29</v>
      </c>
      <c r="H267" s="31"/>
      <c r="I267" s="32"/>
      <c r="J267" s="13"/>
      <c r="K267" s="117"/>
      <c r="L267" s="117"/>
      <c r="M267" s="117"/>
    </row>
    <row r="268" spans="1:13" ht="12.75">
      <c r="A268" s="4"/>
      <c r="B268" s="33" t="s">
        <v>32</v>
      </c>
      <c r="C268" s="23"/>
      <c r="D268" s="23" t="s">
        <v>33</v>
      </c>
      <c r="E268" s="23" t="s">
        <v>34</v>
      </c>
      <c r="F268" s="23" t="s">
        <v>35</v>
      </c>
      <c r="G268" s="33" t="s">
        <v>36</v>
      </c>
      <c r="H268" s="33" t="s">
        <v>37</v>
      </c>
      <c r="I268" s="33" t="s">
        <v>38</v>
      </c>
      <c r="J268" s="99" t="s">
        <v>39</v>
      </c>
      <c r="K268" s="117"/>
      <c r="L268" s="117"/>
      <c r="M268" s="117"/>
    </row>
    <row r="269" spans="1:13" ht="13.5">
      <c r="A269" s="4"/>
      <c r="B269" s="57" t="s">
        <v>467</v>
      </c>
      <c r="C269" s="25"/>
      <c r="D269" s="25"/>
      <c r="E269" s="25"/>
      <c r="F269" s="25"/>
      <c r="G269" s="24" t="s">
        <v>41</v>
      </c>
      <c r="H269" s="24"/>
      <c r="I269" s="24"/>
      <c r="J269" s="101"/>
      <c r="K269" s="117"/>
      <c r="L269" s="117" t="s">
        <v>468</v>
      </c>
      <c r="M269" s="117"/>
    </row>
    <row r="270" spans="1:13" ht="13.5">
      <c r="A270" s="4"/>
      <c r="B270" s="57" t="s">
        <v>469</v>
      </c>
      <c r="C270" s="25"/>
      <c r="D270" s="25"/>
      <c r="E270" s="25"/>
      <c r="F270" s="25"/>
      <c r="G270" s="24" t="s">
        <v>41</v>
      </c>
      <c r="H270" s="24"/>
      <c r="I270" s="24"/>
      <c r="J270" s="101"/>
      <c r="K270" s="117"/>
      <c r="L270" s="117"/>
      <c r="M270" s="117"/>
    </row>
    <row r="271" spans="1:13" ht="13.5">
      <c r="A271" s="4"/>
      <c r="B271" s="57" t="s">
        <v>470</v>
      </c>
      <c r="C271" s="25"/>
      <c r="D271" s="25"/>
      <c r="E271" s="25"/>
      <c r="F271" s="25"/>
      <c r="G271" s="24" t="s">
        <v>41</v>
      </c>
      <c r="H271" s="24"/>
      <c r="I271" s="24"/>
      <c r="J271" s="101"/>
      <c r="K271" s="117"/>
      <c r="L271" s="117"/>
      <c r="M271" s="117"/>
    </row>
    <row r="272" spans="1:13" ht="13.5">
      <c r="A272" s="4"/>
      <c r="B272" s="57" t="s">
        <v>836</v>
      </c>
      <c r="C272" s="25"/>
      <c r="D272" s="25"/>
      <c r="E272" s="25"/>
      <c r="F272" s="25"/>
      <c r="G272" s="24" t="s">
        <v>41</v>
      </c>
      <c r="H272" s="24"/>
      <c r="I272" s="24"/>
      <c r="J272" s="101"/>
      <c r="K272" s="117"/>
      <c r="L272" s="117"/>
      <c r="M272" s="117"/>
    </row>
    <row r="273" spans="1:13" ht="13.5">
      <c r="A273" s="4"/>
      <c r="B273" s="57" t="s">
        <v>837</v>
      </c>
      <c r="C273" s="25"/>
      <c r="D273" s="25"/>
      <c r="E273" s="25"/>
      <c r="F273" s="25"/>
      <c r="G273" s="24" t="s">
        <v>41</v>
      </c>
      <c r="H273" s="24"/>
      <c r="I273" s="24"/>
      <c r="J273" s="101"/>
      <c r="K273" s="117"/>
      <c r="L273" s="117"/>
      <c r="M273" s="117"/>
    </row>
    <row r="274" spans="2:13" ht="14.25" customHeight="1">
      <c r="B274" s="10"/>
      <c r="C274" s="10"/>
      <c r="D274" s="10"/>
      <c r="E274" s="10"/>
      <c r="F274" s="10"/>
      <c r="G274" s="10"/>
      <c r="H274" s="10"/>
      <c r="I274" s="29"/>
      <c r="J274" s="29"/>
      <c r="K274" s="117"/>
      <c r="L274" s="117"/>
      <c r="M274" s="117"/>
    </row>
    <row r="275" spans="1:13" ht="12.75">
      <c r="A275" s="4"/>
      <c r="B275" s="30" t="s">
        <v>838</v>
      </c>
      <c r="C275" s="19" t="s">
        <v>28</v>
      </c>
      <c r="D275" s="19"/>
      <c r="E275" s="19"/>
      <c r="F275" s="19"/>
      <c r="G275" s="31" t="s">
        <v>29</v>
      </c>
      <c r="H275" s="31"/>
      <c r="I275" s="32"/>
      <c r="J275" s="13"/>
      <c r="K275" s="117"/>
      <c r="L275" s="117"/>
      <c r="M275" s="117"/>
    </row>
    <row r="276" spans="1:13" ht="12.75">
      <c r="A276" s="4"/>
      <c r="B276" s="33" t="s">
        <v>32</v>
      </c>
      <c r="C276" s="23"/>
      <c r="D276" s="23" t="s">
        <v>33</v>
      </c>
      <c r="E276" s="23" t="s">
        <v>34</v>
      </c>
      <c r="F276" s="23" t="s">
        <v>35</v>
      </c>
      <c r="G276" s="33" t="s">
        <v>36</v>
      </c>
      <c r="H276" s="33" t="s">
        <v>37</v>
      </c>
      <c r="I276" s="33" t="s">
        <v>38</v>
      </c>
      <c r="J276" s="99" t="s">
        <v>39</v>
      </c>
      <c r="K276" s="117"/>
      <c r="L276" s="117"/>
      <c r="M276" s="117"/>
    </row>
    <row r="277" spans="1:13" ht="13.5">
      <c r="A277" s="4"/>
      <c r="B277" s="57" t="s">
        <v>287</v>
      </c>
      <c r="C277" s="25"/>
      <c r="D277" s="25"/>
      <c r="E277" s="25"/>
      <c r="F277" s="25"/>
      <c r="G277" s="24" t="s">
        <v>41</v>
      </c>
      <c r="H277" s="24"/>
      <c r="I277" s="24" t="s">
        <v>115</v>
      </c>
      <c r="J277" s="101"/>
      <c r="K277" s="117"/>
      <c r="L277" s="117" t="s">
        <v>737</v>
      </c>
      <c r="M277" s="117"/>
    </row>
    <row r="278" spans="1:13" ht="30.75" customHeight="1">
      <c r="A278" s="4"/>
      <c r="B278" s="57" t="s">
        <v>839</v>
      </c>
      <c r="C278" s="25"/>
      <c r="D278" s="25"/>
      <c r="E278" s="25"/>
      <c r="F278" s="25"/>
      <c r="G278" s="24" t="s">
        <v>41</v>
      </c>
      <c r="H278" s="24"/>
      <c r="I278" s="24" t="s">
        <v>840</v>
      </c>
      <c r="J278" s="101"/>
      <c r="K278" s="117"/>
      <c r="L278" s="117" t="s">
        <v>841</v>
      </c>
      <c r="M278" s="117"/>
    </row>
    <row r="279" spans="1:13" ht="26.25">
      <c r="A279" s="4"/>
      <c r="B279" s="57" t="s">
        <v>842</v>
      </c>
      <c r="C279" s="25"/>
      <c r="D279" s="25"/>
      <c r="E279" s="25"/>
      <c r="F279" s="25"/>
      <c r="G279" s="24" t="s">
        <v>41</v>
      </c>
      <c r="H279" s="24"/>
      <c r="I279" s="24" t="s">
        <v>843</v>
      </c>
      <c r="J279" s="101"/>
      <c r="K279" s="117"/>
      <c r="L279" s="117" t="s">
        <v>844</v>
      </c>
      <c r="M279" s="117" t="s">
        <v>845</v>
      </c>
    </row>
    <row r="280" spans="1:13" ht="51.75">
      <c r="A280" s="4"/>
      <c r="B280" s="57" t="s">
        <v>846</v>
      </c>
      <c r="C280" s="25"/>
      <c r="D280" s="25"/>
      <c r="E280" s="25"/>
      <c r="F280" s="25"/>
      <c r="G280" s="24" t="s">
        <v>41</v>
      </c>
      <c r="H280" s="24"/>
      <c r="I280" s="24" t="s">
        <v>847</v>
      </c>
      <c r="J280" s="101"/>
      <c r="K280" s="117"/>
      <c r="L280" s="117" t="s">
        <v>86</v>
      </c>
      <c r="M280" s="117"/>
    </row>
    <row r="281" spans="1:13" ht="146.25" customHeight="1">
      <c r="A281" s="4"/>
      <c r="B281" s="57" t="s">
        <v>848</v>
      </c>
      <c r="C281" s="25"/>
      <c r="D281" s="25"/>
      <c r="E281" s="25"/>
      <c r="F281" s="25"/>
      <c r="G281" s="24" t="s">
        <v>41</v>
      </c>
      <c r="H281" s="24"/>
      <c r="I281" s="24" t="s">
        <v>849</v>
      </c>
      <c r="J281" s="101"/>
      <c r="K281" s="117"/>
      <c r="L281" s="117" t="s">
        <v>86</v>
      </c>
      <c r="M281" s="117" t="s">
        <v>105</v>
      </c>
    </row>
    <row r="282" spans="1:13" ht="13.5">
      <c r="A282" s="4"/>
      <c r="B282" s="67" t="s">
        <v>850</v>
      </c>
      <c r="C282" s="26"/>
      <c r="D282" s="26"/>
      <c r="E282" s="26"/>
      <c r="F282" s="26"/>
      <c r="G282" s="26"/>
      <c r="H282" s="26" t="s">
        <v>43</v>
      </c>
      <c r="I282" s="26"/>
      <c r="J282" s="102"/>
      <c r="K282" s="117"/>
      <c r="L282" s="117"/>
      <c r="M282" s="117"/>
    </row>
    <row r="283" spans="2:13" ht="14.25" customHeight="1">
      <c r="B283" s="10"/>
      <c r="C283" s="10"/>
      <c r="D283" s="10"/>
      <c r="E283" s="10"/>
      <c r="F283" s="10"/>
      <c r="G283" s="10"/>
      <c r="H283" s="10"/>
      <c r="I283" s="29"/>
      <c r="J283" s="29"/>
      <c r="K283" s="117"/>
      <c r="L283" s="117"/>
      <c r="M283" s="117"/>
    </row>
    <row r="284" spans="1:13" ht="12.75">
      <c r="A284" s="4"/>
      <c r="B284" s="30" t="s">
        <v>851</v>
      </c>
      <c r="C284" s="19" t="s">
        <v>28</v>
      </c>
      <c r="D284" s="19"/>
      <c r="E284" s="19"/>
      <c r="F284" s="19"/>
      <c r="G284" s="31" t="s">
        <v>29</v>
      </c>
      <c r="H284" s="31"/>
      <c r="I284" s="32"/>
      <c r="J284" s="13"/>
      <c r="K284" s="117"/>
      <c r="L284" s="117"/>
      <c r="M284" s="117"/>
    </row>
    <row r="285" spans="1:13" ht="12.75">
      <c r="A285" s="4"/>
      <c r="B285" s="33" t="s">
        <v>32</v>
      </c>
      <c r="C285" s="23"/>
      <c r="D285" s="23" t="s">
        <v>33</v>
      </c>
      <c r="E285" s="23" t="s">
        <v>34</v>
      </c>
      <c r="F285" s="23" t="s">
        <v>35</v>
      </c>
      <c r="G285" s="33" t="s">
        <v>36</v>
      </c>
      <c r="H285" s="33" t="s">
        <v>37</v>
      </c>
      <c r="I285" s="33" t="s">
        <v>38</v>
      </c>
      <c r="J285" s="99" t="s">
        <v>39</v>
      </c>
      <c r="K285" s="117"/>
      <c r="L285" s="117"/>
      <c r="M285" s="117"/>
    </row>
    <row r="286" spans="1:13" ht="13.5">
      <c r="A286" s="4"/>
      <c r="B286" s="57" t="s">
        <v>852</v>
      </c>
      <c r="C286" s="25"/>
      <c r="D286" s="25"/>
      <c r="E286" s="25"/>
      <c r="F286" s="25"/>
      <c r="G286" s="24" t="s">
        <v>41</v>
      </c>
      <c r="H286" s="24"/>
      <c r="I286" s="24"/>
      <c r="J286" s="101"/>
      <c r="K286" s="117"/>
      <c r="L286" s="117"/>
      <c r="M286" s="117"/>
    </row>
    <row r="287" spans="1:13" ht="26.25">
      <c r="A287" s="4"/>
      <c r="B287" s="122" t="s">
        <v>853</v>
      </c>
      <c r="C287" s="25"/>
      <c r="D287" s="25"/>
      <c r="E287" s="25"/>
      <c r="F287" s="25"/>
      <c r="G287" s="24" t="s">
        <v>41</v>
      </c>
      <c r="H287" s="24"/>
      <c r="I287" s="24" t="s">
        <v>854</v>
      </c>
      <c r="J287" s="101"/>
      <c r="K287" s="117"/>
      <c r="L287" s="117" t="s">
        <v>855</v>
      </c>
      <c r="M287" s="117"/>
    </row>
    <row r="288" spans="1:13" ht="39">
      <c r="A288" s="4"/>
      <c r="B288" s="122" t="s">
        <v>856</v>
      </c>
      <c r="C288" s="25"/>
      <c r="D288" s="25"/>
      <c r="E288" s="25"/>
      <c r="F288" s="25"/>
      <c r="G288" s="24" t="s">
        <v>41</v>
      </c>
      <c r="H288" s="24"/>
      <c r="I288" s="24" t="s">
        <v>857</v>
      </c>
      <c r="J288" s="101"/>
      <c r="K288" s="117"/>
      <c r="L288" s="117"/>
      <c r="M288" s="117"/>
    </row>
    <row r="289" spans="1:13" ht="43.5" customHeight="1">
      <c r="A289" s="4"/>
      <c r="B289" s="122" t="s">
        <v>858</v>
      </c>
      <c r="C289" s="25"/>
      <c r="D289" s="25"/>
      <c r="E289" s="25"/>
      <c r="F289" s="25"/>
      <c r="G289" s="24" t="s">
        <v>41</v>
      </c>
      <c r="H289" s="24"/>
      <c r="I289" s="24" t="s">
        <v>859</v>
      </c>
      <c r="J289" s="101"/>
      <c r="K289" s="117"/>
      <c r="L289" s="117"/>
      <c r="M289" s="117"/>
    </row>
    <row r="290" spans="1:13" ht="13.5">
      <c r="A290" s="4"/>
      <c r="B290" s="57" t="s">
        <v>860</v>
      </c>
      <c r="C290" s="25"/>
      <c r="D290" s="25"/>
      <c r="E290" s="25"/>
      <c r="F290" s="25"/>
      <c r="G290" s="24" t="s">
        <v>41</v>
      </c>
      <c r="H290" s="24"/>
      <c r="I290" s="24"/>
      <c r="J290" s="101"/>
      <c r="K290" s="117"/>
      <c r="L290" s="117"/>
      <c r="M290" s="117"/>
    </row>
    <row r="291" spans="1:13" ht="13.5">
      <c r="A291" s="4"/>
      <c r="B291" s="122" t="s">
        <v>861</v>
      </c>
      <c r="C291" s="25"/>
      <c r="D291" s="25"/>
      <c r="E291" s="25"/>
      <c r="F291" s="25"/>
      <c r="G291" s="24" t="s">
        <v>41</v>
      </c>
      <c r="H291" s="24"/>
      <c r="I291" s="24"/>
      <c r="J291" s="101"/>
      <c r="K291" s="117"/>
      <c r="L291" s="117" t="s">
        <v>862</v>
      </c>
      <c r="M291" s="117"/>
    </row>
    <row r="292" spans="1:13" ht="13.5">
      <c r="A292" s="4"/>
      <c r="B292" s="122" t="s">
        <v>863</v>
      </c>
      <c r="C292" s="25"/>
      <c r="D292" s="25"/>
      <c r="E292" s="25"/>
      <c r="F292" s="25"/>
      <c r="G292" s="24" t="s">
        <v>41</v>
      </c>
      <c r="H292" s="24"/>
      <c r="I292" s="24"/>
      <c r="J292" s="101"/>
      <c r="K292" s="117"/>
      <c r="L292" s="117"/>
      <c r="M292" s="117"/>
    </row>
    <row r="293" spans="1:13" ht="13.5">
      <c r="A293" s="4"/>
      <c r="B293" s="122" t="s">
        <v>864</v>
      </c>
      <c r="C293" s="25"/>
      <c r="D293" s="25"/>
      <c r="E293" s="25"/>
      <c r="F293" s="25"/>
      <c r="G293" s="24" t="s">
        <v>41</v>
      </c>
      <c r="H293" s="24"/>
      <c r="I293" s="24"/>
      <c r="J293" s="101"/>
      <c r="K293" s="117"/>
      <c r="L293" s="117"/>
      <c r="M293" s="117"/>
    </row>
    <row r="294" spans="1:13" ht="13.5">
      <c r="A294" s="4"/>
      <c r="B294" s="122" t="s">
        <v>865</v>
      </c>
      <c r="C294" s="25"/>
      <c r="D294" s="25"/>
      <c r="E294" s="25"/>
      <c r="F294" s="25"/>
      <c r="G294" s="24" t="s">
        <v>41</v>
      </c>
      <c r="H294" s="24"/>
      <c r="I294" s="24"/>
      <c r="J294" s="101"/>
      <c r="K294" s="117"/>
      <c r="L294" s="117"/>
      <c r="M294" s="117"/>
    </row>
    <row r="295" spans="1:13" ht="13.5">
      <c r="A295" s="4"/>
      <c r="B295" s="67" t="s">
        <v>866</v>
      </c>
      <c r="C295" s="26"/>
      <c r="D295" s="26"/>
      <c r="E295" s="26"/>
      <c r="F295" s="26"/>
      <c r="G295" s="26"/>
      <c r="H295" s="26" t="s">
        <v>43</v>
      </c>
      <c r="I295" s="26"/>
      <c r="J295" s="102"/>
      <c r="K295" s="117"/>
      <c r="L295" s="117"/>
      <c r="M295" s="117"/>
    </row>
    <row r="296" spans="2:13" ht="14.25" customHeight="1">
      <c r="B296" s="29"/>
      <c r="C296" s="29"/>
      <c r="D296" s="29"/>
      <c r="E296" s="29"/>
      <c r="F296" s="29"/>
      <c r="G296" s="29"/>
      <c r="H296" s="29"/>
      <c r="I296" s="29"/>
      <c r="J296" s="29"/>
      <c r="K296" s="117"/>
      <c r="L296" s="117"/>
      <c r="M296" s="117"/>
    </row>
    <row r="297" spans="1:10" ht="12.75">
      <c r="A297" s="50" t="s">
        <v>867</v>
      </c>
      <c r="B297" s="50"/>
      <c r="C297" s="51"/>
      <c r="D297" s="51"/>
      <c r="E297" s="51"/>
      <c r="F297" s="51"/>
      <c r="G297" s="51"/>
      <c r="H297" s="51"/>
      <c r="I297" s="51"/>
      <c r="J297" s="51"/>
    </row>
    <row r="298" spans="2:8" ht="14.25" customHeight="1">
      <c r="B298" s="3"/>
      <c r="C298" s="3"/>
      <c r="D298" s="3"/>
      <c r="E298" s="3"/>
      <c r="F298" s="3"/>
      <c r="G298" s="3"/>
      <c r="H298" s="3"/>
    </row>
    <row r="299" spans="1:13" ht="12.75">
      <c r="A299" s="4"/>
      <c r="B299" s="30" t="s">
        <v>868</v>
      </c>
      <c r="C299" s="19" t="s">
        <v>28</v>
      </c>
      <c r="D299" s="19"/>
      <c r="E299" s="19"/>
      <c r="F299" s="19"/>
      <c r="G299" s="31" t="s">
        <v>29</v>
      </c>
      <c r="H299" s="31"/>
      <c r="I299" s="32"/>
      <c r="J299" s="13"/>
      <c r="K299" s="117"/>
      <c r="L299" s="117"/>
      <c r="M299" s="117"/>
    </row>
    <row r="300" spans="1:13" ht="12.75">
      <c r="A300" s="4"/>
      <c r="B300" s="33" t="s">
        <v>32</v>
      </c>
      <c r="C300" s="23"/>
      <c r="D300" s="23" t="s">
        <v>33</v>
      </c>
      <c r="E300" s="23" t="s">
        <v>34</v>
      </c>
      <c r="F300" s="23" t="s">
        <v>35</v>
      </c>
      <c r="G300" s="33" t="s">
        <v>36</v>
      </c>
      <c r="H300" s="33" t="s">
        <v>37</v>
      </c>
      <c r="I300" s="33" t="s">
        <v>38</v>
      </c>
      <c r="J300" s="99" t="s">
        <v>39</v>
      </c>
      <c r="K300" s="117"/>
      <c r="L300" s="117"/>
      <c r="M300" s="117"/>
    </row>
    <row r="301" spans="1:13" ht="199.5" customHeight="1">
      <c r="A301" s="4"/>
      <c r="B301" s="57" t="s">
        <v>168</v>
      </c>
      <c r="C301" s="25"/>
      <c r="D301" s="25"/>
      <c r="E301" s="25"/>
      <c r="F301" s="25"/>
      <c r="G301" s="24" t="s">
        <v>41</v>
      </c>
      <c r="H301" s="24"/>
      <c r="I301" s="24" t="s">
        <v>869</v>
      </c>
      <c r="J301" s="115">
        <f>HYPERLINK("MultimediaRecord!MM_Billing_subscriberID","subscriberID")</f>
        <v>0</v>
      </c>
      <c r="K301" s="117"/>
      <c r="L301" s="117" t="s">
        <v>170</v>
      </c>
      <c r="M301" s="117"/>
    </row>
    <row r="302" spans="1:13" ht="71.25" customHeight="1">
      <c r="A302" s="4"/>
      <c r="B302" s="57" t="s">
        <v>277</v>
      </c>
      <c r="C302" s="25"/>
      <c r="D302" s="25"/>
      <c r="E302" s="25"/>
      <c r="F302" s="25"/>
      <c r="G302" s="24" t="s">
        <v>41</v>
      </c>
      <c r="H302" s="24"/>
      <c r="I302" s="24" t="s">
        <v>870</v>
      </c>
      <c r="J302" s="115">
        <f>HYPERLINK("MultimediaRecord!MM_Billing_serviceID","serviceID")</f>
        <v>0</v>
      </c>
      <c r="K302" s="117"/>
      <c r="L302" s="117" t="s">
        <v>185</v>
      </c>
      <c r="M302" s="117"/>
    </row>
    <row r="303" spans="1:13" ht="13.5">
      <c r="A303" s="4"/>
      <c r="B303" s="57" t="s">
        <v>252</v>
      </c>
      <c r="C303" s="25"/>
      <c r="D303" s="25"/>
      <c r="E303" s="25"/>
      <c r="F303" s="25"/>
      <c r="G303" s="24" t="s">
        <v>41</v>
      </c>
      <c r="H303" s="24"/>
      <c r="I303" s="27">
        <f>HYPERLINK("MultimediaRecord!MM_Billing_ContactDetails","ContactDetails")</f>
        <v>0</v>
      </c>
      <c r="J303" s="101"/>
      <c r="K303" s="117"/>
      <c r="L303" s="117" t="s">
        <v>113</v>
      </c>
      <c r="M303" s="117"/>
    </row>
    <row r="304" spans="1:13" ht="142.5" customHeight="1">
      <c r="A304" s="4"/>
      <c r="B304" s="57" t="s">
        <v>278</v>
      </c>
      <c r="C304" s="25"/>
      <c r="D304" s="25"/>
      <c r="E304" s="25"/>
      <c r="F304" s="25"/>
      <c r="G304" s="24" t="s">
        <v>41</v>
      </c>
      <c r="H304" s="24"/>
      <c r="I304" s="24" t="s">
        <v>871</v>
      </c>
      <c r="J304" s="115">
        <f>HYPERLINK("MultimediaRecord!MM_Billing_billingIdentifier","billingIdentifier")</f>
        <v>0</v>
      </c>
      <c r="K304" s="117"/>
      <c r="L304" s="117" t="s">
        <v>670</v>
      </c>
      <c r="M304" s="117"/>
    </row>
    <row r="305" spans="1:13" ht="13.5">
      <c r="A305" s="4"/>
      <c r="B305" s="57" t="s">
        <v>280</v>
      </c>
      <c r="C305" s="25"/>
      <c r="D305" s="25"/>
      <c r="E305" s="25"/>
      <c r="F305" s="25"/>
      <c r="G305" s="24" t="s">
        <v>41</v>
      </c>
      <c r="H305" s="24"/>
      <c r="I305" s="27">
        <f>HYPERLINK("MultimediaRecord!MM_MultimediaBillingRecords","MultimediaBillingRecords")</f>
        <v>0</v>
      </c>
      <c r="J305" s="101"/>
      <c r="K305" s="117"/>
      <c r="L305" s="117" t="s">
        <v>671</v>
      </c>
      <c r="M305" s="117"/>
    </row>
    <row r="306" spans="1:13" ht="13.5">
      <c r="A306" s="4"/>
      <c r="B306" s="67" t="s">
        <v>872</v>
      </c>
      <c r="C306" s="26"/>
      <c r="D306" s="26"/>
      <c r="E306" s="26"/>
      <c r="F306" s="26"/>
      <c r="G306" s="26"/>
      <c r="H306" s="26" t="s">
        <v>43</v>
      </c>
      <c r="I306" s="26"/>
      <c r="J306" s="102"/>
      <c r="K306" s="117"/>
      <c r="L306" s="117"/>
      <c r="M306" s="117"/>
    </row>
    <row r="307" spans="2:13" ht="14.25" customHeight="1">
      <c r="B307" s="10"/>
      <c r="C307" s="10"/>
      <c r="D307" s="10"/>
      <c r="E307" s="10"/>
      <c r="F307" s="10"/>
      <c r="G307" s="10"/>
      <c r="H307" s="10"/>
      <c r="I307" s="10"/>
      <c r="J307" s="10"/>
      <c r="K307" s="117"/>
      <c r="L307" s="117"/>
      <c r="M307" s="117"/>
    </row>
    <row r="308" spans="1:13" ht="79.5" customHeight="1">
      <c r="A308" s="4"/>
      <c r="B308" s="36" t="s">
        <v>873</v>
      </c>
      <c r="C308" s="36"/>
      <c r="D308" s="36"/>
      <c r="E308" s="36"/>
      <c r="F308" s="36"/>
      <c r="G308" s="37" t="s">
        <v>52</v>
      </c>
      <c r="H308" s="37"/>
      <c r="I308" s="37"/>
      <c r="J308" s="37"/>
      <c r="K308" s="117"/>
      <c r="L308" s="117"/>
      <c r="M308" s="117"/>
    </row>
    <row r="309" spans="1:13" ht="26.25" customHeight="1">
      <c r="A309" s="4"/>
      <c r="B309" s="38" t="s">
        <v>697</v>
      </c>
      <c r="C309" s="38"/>
      <c r="D309" s="38"/>
      <c r="E309" s="38"/>
      <c r="F309" s="38"/>
      <c r="G309" s="25"/>
      <c r="H309" s="25"/>
      <c r="I309" s="25"/>
      <c r="J309" s="25"/>
      <c r="K309" s="117"/>
      <c r="L309" s="117" t="s">
        <v>558</v>
      </c>
      <c r="M309" s="117"/>
    </row>
    <row r="310" spans="2:13" ht="12.75">
      <c r="B310" s="78"/>
      <c r="C310" s="78"/>
      <c r="D310" s="78"/>
      <c r="E310" s="78"/>
      <c r="F310" s="78"/>
      <c r="G310" s="54"/>
      <c r="H310" s="54"/>
      <c r="I310" s="54"/>
      <c r="J310" s="54"/>
      <c r="K310" s="117"/>
      <c r="L310" s="117"/>
      <c r="M310" s="117"/>
    </row>
    <row r="311" spans="1:13" ht="79.5" customHeight="1">
      <c r="A311" s="4"/>
      <c r="B311" s="36" t="s">
        <v>874</v>
      </c>
      <c r="C311" s="36"/>
      <c r="D311" s="36"/>
      <c r="E311" s="36"/>
      <c r="F311" s="36"/>
      <c r="G311" s="37" t="s">
        <v>52</v>
      </c>
      <c r="H311" s="37"/>
      <c r="I311" s="37"/>
      <c r="J311" s="37"/>
      <c r="K311" s="117"/>
      <c r="L311" s="117"/>
      <c r="M311" s="117"/>
    </row>
    <row r="312" spans="1:13" ht="13.5" customHeight="1">
      <c r="A312" s="4"/>
      <c r="B312" s="38" t="s">
        <v>875</v>
      </c>
      <c r="C312" s="38"/>
      <c r="D312" s="38"/>
      <c r="E312" s="38"/>
      <c r="F312" s="38"/>
      <c r="G312" s="25"/>
      <c r="H312" s="25"/>
      <c r="I312" s="25"/>
      <c r="J312" s="25"/>
      <c r="K312" s="117"/>
      <c r="L312" s="117" t="s">
        <v>711</v>
      </c>
      <c r="M312" s="117"/>
    </row>
    <row r="313" spans="2:13" ht="12.75">
      <c r="B313" s="78"/>
      <c r="C313" s="78"/>
      <c r="D313" s="78"/>
      <c r="E313" s="78"/>
      <c r="F313" s="78"/>
      <c r="G313" s="54"/>
      <c r="H313" s="54"/>
      <c r="I313" s="54"/>
      <c r="J313" s="54"/>
      <c r="K313" s="117"/>
      <c r="L313" s="117"/>
      <c r="M313" s="117"/>
    </row>
    <row r="314" spans="1:13" ht="79.5" customHeight="1">
      <c r="A314" s="4"/>
      <c r="B314" s="36" t="s">
        <v>876</v>
      </c>
      <c r="C314" s="36"/>
      <c r="D314" s="36"/>
      <c r="E314" s="36"/>
      <c r="F314" s="36"/>
      <c r="G314" s="37" t="s">
        <v>52</v>
      </c>
      <c r="H314" s="37"/>
      <c r="I314" s="37"/>
      <c r="J314" s="37"/>
      <c r="K314" s="117"/>
      <c r="L314" s="117"/>
      <c r="M314" s="117"/>
    </row>
    <row r="315" spans="1:13" ht="39" customHeight="1">
      <c r="A315" s="4"/>
      <c r="B315" s="38" t="s">
        <v>877</v>
      </c>
      <c r="C315" s="38"/>
      <c r="D315" s="38"/>
      <c r="E315" s="38"/>
      <c r="F315" s="38"/>
      <c r="G315" s="25"/>
      <c r="H315" s="25"/>
      <c r="I315" s="25"/>
      <c r="J315" s="25"/>
      <c r="K315" s="117"/>
      <c r="L315" s="117" t="s">
        <v>86</v>
      </c>
      <c r="M315" s="117"/>
    </row>
    <row r="316" spans="2:13" ht="23.25">
      <c r="B316" s="10"/>
      <c r="C316" s="10"/>
      <c r="D316" s="10"/>
      <c r="E316" s="10"/>
      <c r="F316" s="10"/>
      <c r="G316" s="10"/>
      <c r="H316" s="10"/>
      <c r="I316" s="29"/>
      <c r="J316" s="29"/>
      <c r="K316" s="117"/>
      <c r="L316" s="117" t="s">
        <v>216</v>
      </c>
      <c r="M316" s="117"/>
    </row>
    <row r="317" spans="1:13" ht="12.75">
      <c r="A317" s="4"/>
      <c r="B317" s="30" t="s">
        <v>680</v>
      </c>
      <c r="C317" s="19" t="s">
        <v>28</v>
      </c>
      <c r="D317" s="19"/>
      <c r="E317" s="19"/>
      <c r="F317" s="19"/>
      <c r="G317" s="31" t="s">
        <v>29</v>
      </c>
      <c r="H317" s="31"/>
      <c r="I317" s="32"/>
      <c r="J317" s="13"/>
      <c r="K317" s="117"/>
      <c r="L317" s="117"/>
      <c r="M317" s="117"/>
    </row>
    <row r="318" spans="1:13" ht="12.75">
      <c r="A318" s="4"/>
      <c r="B318" s="33" t="s">
        <v>32</v>
      </c>
      <c r="C318" s="23"/>
      <c r="D318" s="23" t="s">
        <v>33</v>
      </c>
      <c r="E318" s="23" t="s">
        <v>34</v>
      </c>
      <c r="F318" s="23" t="s">
        <v>35</v>
      </c>
      <c r="G318" s="33" t="s">
        <v>36</v>
      </c>
      <c r="H318" s="33" t="s">
        <v>37</v>
      </c>
      <c r="I318" s="33" t="s">
        <v>38</v>
      </c>
      <c r="J318" s="99" t="s">
        <v>39</v>
      </c>
      <c r="K318" s="117"/>
      <c r="L318" s="117"/>
      <c r="M318" s="117"/>
    </row>
    <row r="319" spans="1:13" ht="12.75">
      <c r="A319" s="4"/>
      <c r="B319" s="63" t="s">
        <v>74</v>
      </c>
      <c r="C319" s="23"/>
      <c r="D319" s="23"/>
      <c r="E319" s="23"/>
      <c r="F319" s="23"/>
      <c r="G319" s="22" t="s">
        <v>41</v>
      </c>
      <c r="H319" s="22"/>
      <c r="I319" s="59">
        <f>HYPERLINK("MultimediaRecord!MM_Billing_AddressInformation","AddressInformation")</f>
        <v>0</v>
      </c>
      <c r="J319" s="99"/>
      <c r="K319" s="117"/>
      <c r="L319" s="117" t="s">
        <v>419</v>
      </c>
      <c r="M319" s="117"/>
    </row>
    <row r="320" spans="1:13" ht="12.75">
      <c r="A320" s="4"/>
      <c r="B320" s="57" t="s">
        <v>76</v>
      </c>
      <c r="C320" s="35"/>
      <c r="D320" s="35"/>
      <c r="E320" s="35"/>
      <c r="F320" s="35"/>
      <c r="G320" s="34" t="s">
        <v>41</v>
      </c>
      <c r="H320" s="22"/>
      <c r="I320" s="22"/>
      <c r="J320" s="99"/>
      <c r="K320" s="117"/>
      <c r="L320" s="117" t="s">
        <v>578</v>
      </c>
      <c r="M320" s="117"/>
    </row>
    <row r="321" spans="1:13" ht="26.25">
      <c r="A321" s="4"/>
      <c r="B321" s="57" t="s">
        <v>78</v>
      </c>
      <c r="C321" s="35"/>
      <c r="D321" s="35"/>
      <c r="E321" s="35"/>
      <c r="F321" s="35"/>
      <c r="G321" s="34" t="s">
        <v>41</v>
      </c>
      <c r="H321" s="22"/>
      <c r="I321" s="24" t="s">
        <v>79</v>
      </c>
      <c r="J321" s="99"/>
      <c r="K321" s="117"/>
      <c r="L321" s="117">
        <v>41712985849</v>
      </c>
      <c r="M321" s="117"/>
    </row>
    <row r="322" spans="1:13" ht="26.25">
      <c r="A322" s="4"/>
      <c r="B322" s="57" t="s">
        <v>80</v>
      </c>
      <c r="C322" s="35"/>
      <c r="D322" s="35"/>
      <c r="E322" s="35"/>
      <c r="F322" s="35"/>
      <c r="G322" s="34" t="s">
        <v>41</v>
      </c>
      <c r="H322" s="22"/>
      <c r="I322" s="24" t="s">
        <v>81</v>
      </c>
      <c r="J322" s="99"/>
      <c r="K322" s="117"/>
      <c r="L322" s="117" t="s">
        <v>86</v>
      </c>
      <c r="M322" s="117"/>
    </row>
    <row r="323" spans="2:13" ht="14.25" customHeight="1">
      <c r="B323" s="10"/>
      <c r="C323" s="10"/>
      <c r="D323" s="10"/>
      <c r="E323" s="10"/>
      <c r="F323" s="10"/>
      <c r="G323" s="10"/>
      <c r="H323" s="10"/>
      <c r="I323" s="29"/>
      <c r="J323" s="29"/>
      <c r="K323" s="117"/>
      <c r="L323" s="117"/>
      <c r="M323" s="117"/>
    </row>
    <row r="324" spans="1:13" ht="12.75">
      <c r="A324" s="4"/>
      <c r="B324" s="30" t="s">
        <v>83</v>
      </c>
      <c r="C324" s="19" t="s">
        <v>28</v>
      </c>
      <c r="D324" s="19"/>
      <c r="E324" s="19"/>
      <c r="F324" s="19"/>
      <c r="G324" s="31" t="s">
        <v>29</v>
      </c>
      <c r="H324" s="31"/>
      <c r="I324" s="32"/>
      <c r="J324" s="13"/>
      <c r="K324" s="117"/>
      <c r="L324" s="117"/>
      <c r="M324" s="117"/>
    </row>
    <row r="325" spans="1:13" ht="12.75">
      <c r="A325" s="4"/>
      <c r="B325" s="33" t="s">
        <v>32</v>
      </c>
      <c r="C325" s="23"/>
      <c r="D325" s="23" t="s">
        <v>33</v>
      </c>
      <c r="E325" s="23" t="s">
        <v>34</v>
      </c>
      <c r="F325" s="23" t="s">
        <v>35</v>
      </c>
      <c r="G325" s="33" t="s">
        <v>36</v>
      </c>
      <c r="H325" s="33" t="s">
        <v>37</v>
      </c>
      <c r="I325" s="33" t="s">
        <v>38</v>
      </c>
      <c r="J325" s="99" t="s">
        <v>39</v>
      </c>
      <c r="K325" s="117"/>
      <c r="L325" s="117"/>
      <c r="M325" s="117"/>
    </row>
    <row r="326" spans="1:13" ht="12.75">
      <c r="A326" s="4"/>
      <c r="B326" s="57" t="s">
        <v>84</v>
      </c>
      <c r="C326" s="35"/>
      <c r="D326" s="35"/>
      <c r="E326" s="35"/>
      <c r="F326" s="35"/>
      <c r="G326" s="34" t="s">
        <v>41</v>
      </c>
      <c r="H326" s="22"/>
      <c r="I326" s="22"/>
      <c r="J326" s="99"/>
      <c r="K326" s="117"/>
      <c r="L326" s="118">
        <v>2</v>
      </c>
      <c r="M326" s="117"/>
    </row>
    <row r="327" spans="1:13" ht="12.75">
      <c r="A327" s="4"/>
      <c r="B327" s="57" t="s">
        <v>85</v>
      </c>
      <c r="C327" s="35"/>
      <c r="D327" s="35"/>
      <c r="E327" s="35"/>
      <c r="F327" s="35"/>
      <c r="G327" s="34" t="s">
        <v>41</v>
      </c>
      <c r="H327" s="22"/>
      <c r="I327" s="22"/>
      <c r="J327" s="99"/>
      <c r="K327" s="117"/>
      <c r="L327" s="117" t="s">
        <v>86</v>
      </c>
      <c r="M327" s="117"/>
    </row>
    <row r="328" spans="1:13" ht="12.75">
      <c r="A328" s="4"/>
      <c r="B328" s="57" t="s">
        <v>87</v>
      </c>
      <c r="C328" s="35"/>
      <c r="D328" s="35"/>
      <c r="E328" s="35"/>
      <c r="F328" s="35"/>
      <c r="G328" s="34" t="s">
        <v>41</v>
      </c>
      <c r="H328" s="22"/>
      <c r="I328" s="22"/>
      <c r="J328" s="99"/>
      <c r="K328" s="117"/>
      <c r="L328" s="117" t="s">
        <v>88</v>
      </c>
      <c r="M328" s="117"/>
    </row>
    <row r="329" spans="1:13" ht="12.75">
      <c r="A329" s="4"/>
      <c r="B329" s="57" t="s">
        <v>89</v>
      </c>
      <c r="C329" s="35"/>
      <c r="D329" s="35"/>
      <c r="E329" s="35"/>
      <c r="F329" s="35"/>
      <c r="G329" s="34" t="s">
        <v>41</v>
      </c>
      <c r="H329" s="22"/>
      <c r="I329" s="22"/>
      <c r="J329" s="99"/>
      <c r="K329" s="117"/>
      <c r="L329" s="117" t="s">
        <v>90</v>
      </c>
      <c r="M329" s="117"/>
    </row>
    <row r="330" spans="1:13" ht="12.75">
      <c r="A330" s="4"/>
      <c r="B330" s="57" t="s">
        <v>91</v>
      </c>
      <c r="C330" s="35"/>
      <c r="D330" s="35"/>
      <c r="E330" s="35"/>
      <c r="F330" s="35"/>
      <c r="G330" s="34" t="s">
        <v>41</v>
      </c>
      <c r="H330" s="22"/>
      <c r="I330" s="22"/>
      <c r="J330" s="99"/>
      <c r="K330" s="117"/>
      <c r="L330" s="117" t="s">
        <v>92</v>
      </c>
      <c r="M330" s="117"/>
    </row>
    <row r="331" spans="1:13" ht="12.75">
      <c r="A331" s="4"/>
      <c r="B331" s="57" t="s">
        <v>93</v>
      </c>
      <c r="C331" s="35"/>
      <c r="D331" s="35"/>
      <c r="E331" s="35"/>
      <c r="F331" s="35"/>
      <c r="G331" s="34" t="s">
        <v>41</v>
      </c>
      <c r="H331" s="22"/>
      <c r="I331" s="22" t="s">
        <v>94</v>
      </c>
      <c r="J331" s="99"/>
      <c r="K331" s="117"/>
      <c r="L331" s="118">
        <v>8045</v>
      </c>
      <c r="M331" s="117"/>
    </row>
    <row r="332" spans="1:13" ht="12.75">
      <c r="A332" s="4"/>
      <c r="B332" s="67" t="s">
        <v>95</v>
      </c>
      <c r="C332" s="68"/>
      <c r="D332" s="68"/>
      <c r="E332" s="68"/>
      <c r="F332" s="68"/>
      <c r="G332" s="68"/>
      <c r="H332" s="7" t="s">
        <v>43</v>
      </c>
      <c r="I332" s="7"/>
      <c r="J332" s="108"/>
      <c r="K332" s="117"/>
      <c r="L332" s="117"/>
      <c r="M332" s="117"/>
    </row>
    <row r="333" spans="1:13" ht="27" customHeight="1">
      <c r="A333" s="4"/>
      <c r="B333" s="57" t="s">
        <v>96</v>
      </c>
      <c r="C333" s="34"/>
      <c r="D333" s="35"/>
      <c r="E333" s="35"/>
      <c r="F333" s="35"/>
      <c r="G333" s="34" t="s">
        <v>41</v>
      </c>
      <c r="H333" s="22"/>
      <c r="I333" s="18" t="s">
        <v>97</v>
      </c>
      <c r="J333" s="99"/>
      <c r="K333" s="117"/>
      <c r="L333" s="117" t="s">
        <v>98</v>
      </c>
      <c r="M333" s="117"/>
    </row>
    <row r="334" spans="1:13" ht="12.75">
      <c r="A334" s="4"/>
      <c r="B334" s="67" t="s">
        <v>99</v>
      </c>
      <c r="C334" s="68"/>
      <c r="D334" s="68"/>
      <c r="E334" s="68"/>
      <c r="F334" s="68"/>
      <c r="G334" s="68"/>
      <c r="H334" s="7" t="s">
        <v>43</v>
      </c>
      <c r="I334" s="7"/>
      <c r="J334" s="108"/>
      <c r="K334" s="117"/>
      <c r="L334" s="117"/>
      <c r="M334" s="117"/>
    </row>
    <row r="335" spans="1:13" ht="12.75">
      <c r="A335" s="4"/>
      <c r="B335" s="57" t="s">
        <v>100</v>
      </c>
      <c r="C335" s="34"/>
      <c r="D335" s="35"/>
      <c r="E335" s="35"/>
      <c r="F335" s="35"/>
      <c r="G335" s="34" t="s">
        <v>41</v>
      </c>
      <c r="H335" s="22"/>
      <c r="I335" s="22"/>
      <c r="J335" s="99"/>
      <c r="K335" s="117"/>
      <c r="L335" s="117" t="s">
        <v>101</v>
      </c>
      <c r="M335" s="117"/>
    </row>
    <row r="336" spans="1:13" ht="12.75">
      <c r="A336" s="4"/>
      <c r="B336" s="57" t="s">
        <v>102</v>
      </c>
      <c r="C336" s="34"/>
      <c r="D336" s="35"/>
      <c r="E336" s="35"/>
      <c r="F336" s="35"/>
      <c r="G336" s="34" t="s">
        <v>41</v>
      </c>
      <c r="H336" s="22"/>
      <c r="I336" s="22"/>
      <c r="J336" s="99"/>
      <c r="K336" s="117"/>
      <c r="L336" s="117" t="s">
        <v>103</v>
      </c>
      <c r="M336" s="117"/>
    </row>
    <row r="337" spans="1:13" ht="12.75">
      <c r="A337" s="4"/>
      <c r="B337" s="57" t="s">
        <v>242</v>
      </c>
      <c r="C337" s="34"/>
      <c r="D337" s="35"/>
      <c r="E337" s="35"/>
      <c r="F337" s="35"/>
      <c r="G337" s="34" t="s">
        <v>41</v>
      </c>
      <c r="H337" s="22"/>
      <c r="I337" s="59">
        <f>HYPERLINK("MultimediaRecord!MM_Billing_TimeSpan","TimeSpan")</f>
        <v>0</v>
      </c>
      <c r="J337" s="99"/>
      <c r="K337" s="117"/>
      <c r="L337" s="117" t="s">
        <v>189</v>
      </c>
      <c r="M337" s="117"/>
    </row>
    <row r="338" spans="2:13" ht="14.25" customHeight="1">
      <c r="B338" s="60"/>
      <c r="C338" s="79"/>
      <c r="D338" s="79"/>
      <c r="E338" s="79"/>
      <c r="F338" s="79"/>
      <c r="G338" s="79"/>
      <c r="H338" s="10"/>
      <c r="I338" s="29"/>
      <c r="J338" s="29"/>
      <c r="K338" s="117"/>
      <c r="L338" s="117"/>
      <c r="M338" s="117"/>
    </row>
    <row r="339" spans="1:13" ht="12.75">
      <c r="A339" s="4"/>
      <c r="B339" s="30" t="s">
        <v>231</v>
      </c>
      <c r="C339" s="19" t="s">
        <v>28</v>
      </c>
      <c r="D339" s="19"/>
      <c r="E339" s="19"/>
      <c r="F339" s="19"/>
      <c r="G339" s="31" t="s">
        <v>29</v>
      </c>
      <c r="H339" s="31"/>
      <c r="I339" s="32"/>
      <c r="J339" s="13"/>
      <c r="K339" s="117"/>
      <c r="L339" s="117"/>
      <c r="M339" s="117"/>
    </row>
    <row r="340" spans="1:13" ht="12.75">
      <c r="A340" s="4"/>
      <c r="B340" s="33" t="s">
        <v>32</v>
      </c>
      <c r="C340" s="23"/>
      <c r="D340" s="23" t="s">
        <v>33</v>
      </c>
      <c r="E340" s="23" t="s">
        <v>34</v>
      </c>
      <c r="F340" s="23" t="s">
        <v>35</v>
      </c>
      <c r="G340" s="33" t="s">
        <v>36</v>
      </c>
      <c r="H340" s="33" t="s">
        <v>37</v>
      </c>
      <c r="I340" s="33" t="s">
        <v>38</v>
      </c>
      <c r="J340" s="99" t="s">
        <v>39</v>
      </c>
      <c r="K340" s="117"/>
      <c r="L340" s="117"/>
      <c r="M340" s="117"/>
    </row>
    <row r="341" spans="1:13" ht="13.5">
      <c r="A341" s="4"/>
      <c r="B341" s="57" t="s">
        <v>106</v>
      </c>
      <c r="C341" s="25"/>
      <c r="D341" s="25"/>
      <c r="E341" s="25"/>
      <c r="F341" s="25"/>
      <c r="G341" s="24" t="s">
        <v>41</v>
      </c>
      <c r="H341" s="24"/>
      <c r="I341" s="24"/>
      <c r="J341" s="101"/>
      <c r="K341" s="117"/>
      <c r="L341" s="117" t="s">
        <v>107</v>
      </c>
      <c r="M341" s="117"/>
    </row>
    <row r="342" spans="1:13" ht="13.5">
      <c r="A342" s="4"/>
      <c r="B342" s="57" t="s">
        <v>108</v>
      </c>
      <c r="C342" s="25"/>
      <c r="D342" s="25"/>
      <c r="E342" s="25"/>
      <c r="F342" s="25"/>
      <c r="G342" s="24" t="s">
        <v>41</v>
      </c>
      <c r="H342" s="24"/>
      <c r="I342" s="24"/>
      <c r="J342" s="101"/>
      <c r="K342" s="117"/>
      <c r="L342" s="117" t="s">
        <v>86</v>
      </c>
      <c r="M342" s="117"/>
    </row>
    <row r="343" spans="1:13" ht="13.5">
      <c r="A343" s="4"/>
      <c r="B343" s="67" t="s">
        <v>109</v>
      </c>
      <c r="C343" s="26"/>
      <c r="D343" s="26"/>
      <c r="E343" s="26"/>
      <c r="F343" s="26"/>
      <c r="G343" s="26" t="s">
        <v>43</v>
      </c>
      <c r="H343" s="26"/>
      <c r="I343" s="26"/>
      <c r="J343" s="102"/>
      <c r="K343" s="117"/>
      <c r="L343" s="117"/>
      <c r="M343" s="117"/>
    </row>
    <row r="344" spans="2:13" ht="14.25" customHeight="1">
      <c r="B344" s="10"/>
      <c r="C344" s="10"/>
      <c r="D344" s="10"/>
      <c r="E344" s="10"/>
      <c r="F344" s="10"/>
      <c r="G344" s="10"/>
      <c r="H344" s="10"/>
      <c r="I344" s="29"/>
      <c r="J344" s="29"/>
      <c r="K344" s="117"/>
      <c r="L344" s="117"/>
      <c r="M344" s="117"/>
    </row>
    <row r="345" spans="1:13" ht="12.75">
      <c r="A345" s="4"/>
      <c r="B345" s="30" t="s">
        <v>878</v>
      </c>
      <c r="C345" s="19" t="s">
        <v>28</v>
      </c>
      <c r="D345" s="19"/>
      <c r="E345" s="19"/>
      <c r="F345" s="19"/>
      <c r="G345" s="31" t="s">
        <v>29</v>
      </c>
      <c r="H345" s="31"/>
      <c r="I345" s="32"/>
      <c r="J345" s="13"/>
      <c r="K345" s="117"/>
      <c r="L345" s="117"/>
      <c r="M345" s="117"/>
    </row>
    <row r="346" spans="1:13" ht="12.75">
      <c r="A346" s="4"/>
      <c r="B346" s="33" t="s">
        <v>32</v>
      </c>
      <c r="C346" s="23"/>
      <c r="D346" s="23" t="s">
        <v>33</v>
      </c>
      <c r="E346" s="23" t="s">
        <v>34</v>
      </c>
      <c r="F346" s="23" t="s">
        <v>35</v>
      </c>
      <c r="G346" s="33" t="s">
        <v>36</v>
      </c>
      <c r="H346" s="33" t="s">
        <v>37</v>
      </c>
      <c r="I346" s="33" t="s">
        <v>38</v>
      </c>
      <c r="J346" s="99" t="s">
        <v>39</v>
      </c>
      <c r="K346" s="117"/>
      <c r="L346" s="117"/>
      <c r="M346" s="117"/>
    </row>
    <row r="347" spans="1:13" ht="13.5">
      <c r="A347" s="4"/>
      <c r="B347" s="57" t="s">
        <v>287</v>
      </c>
      <c r="C347" s="35"/>
      <c r="D347" s="35"/>
      <c r="E347" s="35"/>
      <c r="F347" s="35"/>
      <c r="G347" s="34" t="s">
        <v>41</v>
      </c>
      <c r="H347" s="22"/>
      <c r="I347" s="22" t="s">
        <v>115</v>
      </c>
      <c r="J347" s="99"/>
      <c r="K347" s="117"/>
      <c r="L347" s="117" t="s">
        <v>879</v>
      </c>
      <c r="M347" s="117"/>
    </row>
    <row r="348" spans="1:13" ht="12.75">
      <c r="A348" s="4"/>
      <c r="B348" s="57" t="s">
        <v>288</v>
      </c>
      <c r="C348" s="35"/>
      <c r="D348" s="35"/>
      <c r="E348" s="35"/>
      <c r="F348" s="35"/>
      <c r="G348" s="34" t="s">
        <v>41</v>
      </c>
      <c r="H348" s="22"/>
      <c r="I348" s="22" t="s">
        <v>123</v>
      </c>
      <c r="J348" s="99"/>
      <c r="K348" s="117"/>
      <c r="L348" s="117" t="s">
        <v>101</v>
      </c>
      <c r="M348" s="117"/>
    </row>
    <row r="349" spans="1:13" ht="12.75">
      <c r="A349" s="4"/>
      <c r="B349" s="57" t="s">
        <v>289</v>
      </c>
      <c r="C349" s="35"/>
      <c r="D349" s="35"/>
      <c r="E349" s="35"/>
      <c r="F349" s="35"/>
      <c r="G349" s="34" t="s">
        <v>41</v>
      </c>
      <c r="H349" s="22"/>
      <c r="I349" s="22" t="s">
        <v>290</v>
      </c>
      <c r="J349" s="99"/>
      <c r="K349" s="117"/>
      <c r="L349" s="118">
        <v>72.35</v>
      </c>
      <c r="M349" s="117"/>
    </row>
    <row r="350" spans="1:13" ht="12.75">
      <c r="A350" s="4"/>
      <c r="B350" s="57" t="s">
        <v>291</v>
      </c>
      <c r="C350" s="35"/>
      <c r="D350" s="35"/>
      <c r="E350" s="35"/>
      <c r="F350" s="35"/>
      <c r="G350" s="34" t="s">
        <v>41</v>
      </c>
      <c r="H350" s="22"/>
      <c r="I350" s="22" t="s">
        <v>123</v>
      </c>
      <c r="J350" s="99"/>
      <c r="K350" s="117"/>
      <c r="L350" s="117" t="s">
        <v>683</v>
      </c>
      <c r="M350" s="117"/>
    </row>
    <row r="351" spans="1:13" ht="13.5">
      <c r="A351" s="4"/>
      <c r="B351" s="57" t="s">
        <v>292</v>
      </c>
      <c r="C351" s="35"/>
      <c r="D351" s="35"/>
      <c r="E351" s="35"/>
      <c r="F351" s="35"/>
      <c r="G351" s="34" t="s">
        <v>41</v>
      </c>
      <c r="H351" s="22"/>
      <c r="I351" s="22" t="s">
        <v>293</v>
      </c>
      <c r="J351" s="99"/>
      <c r="K351" s="117"/>
      <c r="L351" s="117" t="s">
        <v>684</v>
      </c>
      <c r="M351" s="117"/>
    </row>
    <row r="352" spans="1:13" ht="12.75">
      <c r="A352" s="4"/>
      <c r="B352" s="67" t="s">
        <v>880</v>
      </c>
      <c r="C352" s="68"/>
      <c r="D352" s="68"/>
      <c r="E352" s="68"/>
      <c r="F352" s="68"/>
      <c r="G352" s="68"/>
      <c r="H352" s="7" t="s">
        <v>43</v>
      </c>
      <c r="I352" s="7"/>
      <c r="J352" s="108"/>
      <c r="K352" s="117"/>
      <c r="L352" s="117"/>
      <c r="M352" s="117"/>
    </row>
    <row r="353" spans="1:13" ht="199.5" customHeight="1">
      <c r="A353" s="4"/>
      <c r="B353" s="80" t="s">
        <v>881</v>
      </c>
      <c r="C353" s="81"/>
      <c r="D353" s="81"/>
      <c r="E353" s="81"/>
      <c r="F353" s="81"/>
      <c r="G353" s="81"/>
      <c r="H353" s="81" t="s">
        <v>59</v>
      </c>
      <c r="I353" s="45" t="s">
        <v>882</v>
      </c>
      <c r="J353" s="116"/>
      <c r="K353" s="117"/>
      <c r="L353" s="117"/>
      <c r="M353" s="117"/>
    </row>
    <row r="354" spans="1:13" ht="165.75">
      <c r="A354" s="4"/>
      <c r="B354" s="80" t="s">
        <v>883</v>
      </c>
      <c r="C354" s="81"/>
      <c r="D354" s="81"/>
      <c r="E354" s="81"/>
      <c r="F354" s="81"/>
      <c r="G354" s="81"/>
      <c r="H354" s="81" t="s">
        <v>59</v>
      </c>
      <c r="I354" s="45" t="s">
        <v>882</v>
      </c>
      <c r="J354" s="116"/>
      <c r="K354" s="117"/>
      <c r="L354" s="117"/>
      <c r="M354" s="117"/>
    </row>
  </sheetData>
  <sheetProtection selectLockedCells="1" selectUnlockedCells="1"/>
  <mergeCells count="101">
    <mergeCell ref="B10:F10"/>
    <mergeCell ref="C12:F12"/>
    <mergeCell ref="G12:H12"/>
    <mergeCell ref="B19:F19"/>
    <mergeCell ref="G19:J19"/>
    <mergeCell ref="B20:F20"/>
    <mergeCell ref="G20:J20"/>
    <mergeCell ref="C22:F22"/>
    <mergeCell ref="G22:H22"/>
    <mergeCell ref="B38:F38"/>
    <mergeCell ref="G38:J38"/>
    <mergeCell ref="B39:F39"/>
    <mergeCell ref="G39:J39"/>
    <mergeCell ref="C41:F41"/>
    <mergeCell ref="G41:H41"/>
    <mergeCell ref="C47:F47"/>
    <mergeCell ref="G47:H47"/>
    <mergeCell ref="C55:F55"/>
    <mergeCell ref="G55:H55"/>
    <mergeCell ref="C70:F70"/>
    <mergeCell ref="G70:H70"/>
    <mergeCell ref="C76:F76"/>
    <mergeCell ref="G76:H76"/>
    <mergeCell ref="C82:F82"/>
    <mergeCell ref="G82:H82"/>
    <mergeCell ref="C88:F88"/>
    <mergeCell ref="G88:H88"/>
    <mergeCell ref="C97:F97"/>
    <mergeCell ref="G97:H97"/>
    <mergeCell ref="C104:F104"/>
    <mergeCell ref="G104:H104"/>
    <mergeCell ref="C119:F119"/>
    <mergeCell ref="G119:H119"/>
    <mergeCell ref="C127:F127"/>
    <mergeCell ref="G127:H127"/>
    <mergeCell ref="B147:F147"/>
    <mergeCell ref="G147:J147"/>
    <mergeCell ref="B148:F148"/>
    <mergeCell ref="G148:J148"/>
    <mergeCell ref="C150:F150"/>
    <mergeCell ref="G150:H150"/>
    <mergeCell ref="B169:F169"/>
    <mergeCell ref="G169:J169"/>
    <mergeCell ref="B170:F170"/>
    <mergeCell ref="G170:J170"/>
    <mergeCell ref="C172:F172"/>
    <mergeCell ref="G172:H172"/>
    <mergeCell ref="C185:F185"/>
    <mergeCell ref="G185:H185"/>
    <mergeCell ref="C191:F191"/>
    <mergeCell ref="G191:H191"/>
    <mergeCell ref="C203:F203"/>
    <mergeCell ref="G203:H203"/>
    <mergeCell ref="C209:F209"/>
    <mergeCell ref="G209:H209"/>
    <mergeCell ref="C215:F215"/>
    <mergeCell ref="G215:H215"/>
    <mergeCell ref="C220:F220"/>
    <mergeCell ref="G220:H220"/>
    <mergeCell ref="C226:F226"/>
    <mergeCell ref="G226:H226"/>
    <mergeCell ref="C231:F231"/>
    <mergeCell ref="G231:H231"/>
    <mergeCell ref="C237:F237"/>
    <mergeCell ref="G237:H237"/>
    <mergeCell ref="C243:F243"/>
    <mergeCell ref="G243:H243"/>
    <mergeCell ref="C249:F249"/>
    <mergeCell ref="G249:H249"/>
    <mergeCell ref="C255:F255"/>
    <mergeCell ref="G255:H255"/>
    <mergeCell ref="C261:F261"/>
    <mergeCell ref="G261:H261"/>
    <mergeCell ref="C267:F267"/>
    <mergeCell ref="G267:H267"/>
    <mergeCell ref="C275:F275"/>
    <mergeCell ref="G275:H275"/>
    <mergeCell ref="C284:F284"/>
    <mergeCell ref="G284:H284"/>
    <mergeCell ref="C299:F299"/>
    <mergeCell ref="G299:H299"/>
    <mergeCell ref="B308:F308"/>
    <mergeCell ref="G308:J308"/>
    <mergeCell ref="B309:F309"/>
    <mergeCell ref="G309:J309"/>
    <mergeCell ref="B311:F311"/>
    <mergeCell ref="G311:J311"/>
    <mergeCell ref="B312:F312"/>
    <mergeCell ref="G312:J312"/>
    <mergeCell ref="B314:F314"/>
    <mergeCell ref="G314:J314"/>
    <mergeCell ref="B315:F315"/>
    <mergeCell ref="G315:J315"/>
    <mergeCell ref="C317:F317"/>
    <mergeCell ref="G317:H317"/>
    <mergeCell ref="C324:F324"/>
    <mergeCell ref="G324:H324"/>
    <mergeCell ref="C339:F339"/>
    <mergeCell ref="G339:H339"/>
    <mergeCell ref="C345:F345"/>
    <mergeCell ref="G345:H345"/>
  </mergeCells>
  <printOptions/>
  <pageMargins left="0.75" right="0.75" top="0.5" bottom="0.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N513"/>
  <sheetViews>
    <sheetView zoomScaleSheetLayoutView="100" workbookViewId="0" topLeftCell="A1">
      <selection activeCell="A1" sqref="A1"/>
    </sheetView>
  </sheetViews>
  <sheetFormatPr defaultColWidth="37.7109375" defaultRowHeight="12.75"/>
  <cols>
    <col min="1" max="1" width="33.00390625" style="0" customWidth="1"/>
    <col min="2" max="2" width="49.140625" style="0" customWidth="1"/>
    <col min="3" max="3" width="0.42578125" style="0" customWidth="1"/>
    <col min="4" max="6" width="0.2890625" style="0" customWidth="1"/>
    <col min="7" max="7" width="9.7109375" style="0" customWidth="1"/>
    <col min="8" max="8" width="14.140625" style="0" customWidth="1"/>
    <col min="9" max="10" width="36.8515625" style="0" customWidth="1"/>
    <col min="11" max="11" width="16.57421875" style="0" customWidth="1"/>
    <col min="12" max="12" width="31.421875" style="47" customWidth="1"/>
    <col min="13" max="13" width="21.00390625" style="47" customWidth="1"/>
    <col min="14" max="14" width="23.7109375" style="0" customWidth="1"/>
  </cols>
  <sheetData>
    <row r="1" ht="14.25" customHeight="1"/>
    <row r="2" ht="12.75">
      <c r="B2" s="1" t="s">
        <v>884</v>
      </c>
    </row>
    <row r="3" ht="15" customHeight="1"/>
    <row r="4" ht="15" customHeight="1">
      <c r="B4" s="49">
        <f>HYPERLINK("NetworkAccessRecord!NA_Network_Access_Subscriber","LINK TO Network_Access_Subscriber")</f>
        <v>0</v>
      </c>
    </row>
    <row r="5" ht="15" customHeight="1">
      <c r="B5" s="49">
        <f>HYPERLINK("NetworkAccessRecord!NA_Network_Access_Service_Usage","LINK TO Network_Access_Service_Usage")</f>
        <v>0</v>
      </c>
    </row>
    <row r="6" ht="15" customHeight="1">
      <c r="B6" s="49">
        <f>HYPERLINK("NetworkAccessRecord!NA_Network_Access_Device","LINK TO Network_Access_Device")</f>
        <v>0</v>
      </c>
    </row>
    <row r="7" ht="15" customHeight="1">
      <c r="B7" s="49">
        <f>HYPERLINK("NetworkAccessRecord!NA_Network_Access_Network_Element","LINK TO Network_Access_Network_Element")</f>
        <v>0</v>
      </c>
    </row>
    <row r="8" ht="15" customHeight="1">
      <c r="B8" s="49">
        <f>HYPERLINK("NetworkAccessRecord!NA_Network_Access_Billing_Details","LINK TO Network_Access_Billing_Details")</f>
        <v>0</v>
      </c>
    </row>
    <row r="9" ht="15" customHeight="1"/>
    <row r="10" spans="1:13" ht="12.75">
      <c r="A10" s="50" t="s">
        <v>885</v>
      </c>
      <c r="B10" s="50"/>
      <c r="C10" s="51"/>
      <c r="D10" s="51"/>
      <c r="E10" s="51"/>
      <c r="F10" s="51"/>
      <c r="G10" s="51"/>
      <c r="H10" s="51"/>
      <c r="I10" s="51"/>
      <c r="J10" s="51"/>
      <c r="K10" s="9"/>
      <c r="L10" s="55" t="s">
        <v>63</v>
      </c>
      <c r="M10" s="76" t="s">
        <v>64</v>
      </c>
    </row>
    <row r="11" spans="2:6" ht="15.75" customHeight="1">
      <c r="B11" s="53"/>
      <c r="C11" s="3"/>
      <c r="D11" s="3"/>
      <c r="E11" s="3"/>
      <c r="F11" s="3"/>
    </row>
    <row r="12" spans="1:7" ht="26.25" customHeight="1">
      <c r="A12" s="4"/>
      <c r="B12" s="24" t="s">
        <v>62</v>
      </c>
      <c r="C12" s="24"/>
      <c r="D12" s="24"/>
      <c r="E12" s="24"/>
      <c r="F12" s="24"/>
      <c r="G12" s="8"/>
    </row>
    <row r="13" spans="2:8" ht="12.75">
      <c r="B13" s="54"/>
      <c r="C13" s="10"/>
      <c r="D13" s="10"/>
      <c r="E13" s="10"/>
      <c r="F13" s="10"/>
      <c r="G13" s="3"/>
      <c r="H13" s="3"/>
    </row>
    <row r="14" spans="1:13" ht="12.75">
      <c r="A14" s="4"/>
      <c r="B14" s="30" t="s">
        <v>886</v>
      </c>
      <c r="C14" s="19" t="s">
        <v>28</v>
      </c>
      <c r="D14" s="19"/>
      <c r="E14" s="19"/>
      <c r="F14" s="19"/>
      <c r="G14" s="31" t="s">
        <v>29</v>
      </c>
      <c r="H14" s="31"/>
      <c r="I14" s="32"/>
      <c r="J14" s="13"/>
      <c r="K14" s="117"/>
      <c r="L14" s="117"/>
      <c r="M14" s="117"/>
    </row>
    <row r="15" spans="1:13" ht="12.75">
      <c r="A15" s="4"/>
      <c r="B15" s="33" t="s">
        <v>32</v>
      </c>
      <c r="C15" s="23"/>
      <c r="D15" s="23" t="s">
        <v>33</v>
      </c>
      <c r="E15" s="23" t="s">
        <v>34</v>
      </c>
      <c r="F15" s="23" t="s">
        <v>35</v>
      </c>
      <c r="G15" s="33" t="s">
        <v>36</v>
      </c>
      <c r="H15" s="33" t="s">
        <v>37</v>
      </c>
      <c r="I15" s="33" t="s">
        <v>38</v>
      </c>
      <c r="J15" s="99" t="s">
        <v>39</v>
      </c>
      <c r="K15" s="117"/>
      <c r="L15" s="117"/>
      <c r="M15" s="117"/>
    </row>
    <row r="16" spans="1:13" ht="13.5">
      <c r="A16" s="4"/>
      <c r="B16" s="57" t="s">
        <v>546</v>
      </c>
      <c r="C16" s="25"/>
      <c r="D16" s="25"/>
      <c r="E16" s="25"/>
      <c r="F16" s="25"/>
      <c r="G16" s="24" t="s">
        <v>41</v>
      </c>
      <c r="H16" s="24"/>
      <c r="I16" s="59">
        <f>HYPERLINK("NetworkAccessRecord!NA_NASubscriber_TimeSpan","TimeSpan")</f>
        <v>0</v>
      </c>
      <c r="J16" s="99"/>
      <c r="K16" s="117"/>
      <c r="L16" s="117" t="s">
        <v>189</v>
      </c>
      <c r="M16" s="117"/>
    </row>
    <row r="17" spans="1:13" ht="102.75">
      <c r="A17" s="4"/>
      <c r="B17" s="57" t="s">
        <v>547</v>
      </c>
      <c r="C17" s="25"/>
      <c r="D17" s="25"/>
      <c r="E17" s="25"/>
      <c r="F17" s="25"/>
      <c r="G17" s="24" t="s">
        <v>41</v>
      </c>
      <c r="H17" s="24"/>
      <c r="I17" s="24" t="s">
        <v>887</v>
      </c>
      <c r="J17" s="109"/>
      <c r="K17" s="117"/>
      <c r="L17" s="117" t="s">
        <v>170</v>
      </c>
      <c r="M17" s="117"/>
    </row>
    <row r="18" spans="1:13" ht="13.5">
      <c r="A18" s="4"/>
      <c r="B18" s="57" t="s">
        <v>888</v>
      </c>
      <c r="C18" s="25"/>
      <c r="D18" s="25"/>
      <c r="E18" s="25"/>
      <c r="F18" s="25"/>
      <c r="G18" s="24" t="s">
        <v>41</v>
      </c>
      <c r="H18" s="24"/>
      <c r="I18" s="59">
        <f>HYPERLINK("NetworkAccessRecord!NA_NAServiceSubscription","NAServiceSubscription")</f>
        <v>0</v>
      </c>
      <c r="J18" s="99"/>
      <c r="K18" s="117"/>
      <c r="L18" s="117" t="s">
        <v>889</v>
      </c>
      <c r="M18" s="117"/>
    </row>
    <row r="19" spans="1:13" ht="256.5" customHeight="1">
      <c r="A19" s="4"/>
      <c r="B19" s="57" t="s">
        <v>890</v>
      </c>
      <c r="C19" s="25"/>
      <c r="D19" s="25"/>
      <c r="E19" s="25"/>
      <c r="F19" s="25"/>
      <c r="G19" s="24" t="s">
        <v>891</v>
      </c>
      <c r="H19" s="24"/>
      <c r="I19" s="89" t="s">
        <v>892</v>
      </c>
      <c r="J19" s="109">
        <f>HYPERLINK("NetworkAccessRecord!NA_NASubscriber_allocatedDeviceIDs","allocatedDeviceIDs")</f>
        <v>0</v>
      </c>
      <c r="K19" s="117"/>
      <c r="L19" s="117" t="s">
        <v>893</v>
      </c>
      <c r="M19" s="117"/>
    </row>
    <row r="20" spans="1:13" ht="13.5">
      <c r="A20" s="4"/>
      <c r="B20" s="57" t="s">
        <v>894</v>
      </c>
      <c r="C20" s="25"/>
      <c r="D20" s="25"/>
      <c r="E20" s="25"/>
      <c r="F20" s="25"/>
      <c r="G20" s="24" t="s">
        <v>41</v>
      </c>
      <c r="H20" s="24"/>
      <c r="I20" s="59">
        <f>HYPERLINK("GenericSubInfo!A1","GenericSubscriberInfo")</f>
        <v>0</v>
      </c>
      <c r="J20" s="99"/>
      <c r="K20" s="117"/>
      <c r="L20" s="117" t="s">
        <v>172</v>
      </c>
      <c r="M20" s="117"/>
    </row>
    <row r="21" spans="2:13" ht="14.25" customHeight="1">
      <c r="B21" s="10"/>
      <c r="C21" s="10"/>
      <c r="D21" s="10"/>
      <c r="E21" s="10"/>
      <c r="F21" s="10"/>
      <c r="G21" s="10"/>
      <c r="H21" s="10"/>
      <c r="I21" s="29"/>
      <c r="J21" s="29"/>
      <c r="K21" s="117"/>
      <c r="L21" s="117"/>
      <c r="M21" s="117"/>
    </row>
    <row r="22" spans="1:13" ht="12.75">
      <c r="A22" s="4"/>
      <c r="B22" s="30" t="s">
        <v>231</v>
      </c>
      <c r="C22" s="19" t="s">
        <v>28</v>
      </c>
      <c r="D22" s="19"/>
      <c r="E22" s="19"/>
      <c r="F22" s="19"/>
      <c r="G22" s="31" t="s">
        <v>29</v>
      </c>
      <c r="H22" s="31"/>
      <c r="I22" s="32"/>
      <c r="J22" s="13"/>
      <c r="K22" s="117"/>
      <c r="L22" s="117"/>
      <c r="M22" s="117"/>
    </row>
    <row r="23" spans="1:13" ht="12.75">
      <c r="A23" s="4"/>
      <c r="B23" s="33" t="s">
        <v>32</v>
      </c>
      <c r="C23" s="23"/>
      <c r="D23" s="23" t="s">
        <v>33</v>
      </c>
      <c r="E23" s="23" t="s">
        <v>34</v>
      </c>
      <c r="F23" s="23" t="s">
        <v>35</v>
      </c>
      <c r="G23" s="33" t="s">
        <v>36</v>
      </c>
      <c r="H23" s="33" t="s">
        <v>37</v>
      </c>
      <c r="I23" s="33" t="s">
        <v>38</v>
      </c>
      <c r="J23" s="99" t="s">
        <v>39</v>
      </c>
      <c r="K23" s="117"/>
      <c r="L23" s="117"/>
      <c r="M23" s="117"/>
    </row>
    <row r="24" spans="1:13" ht="13.5">
      <c r="A24" s="4"/>
      <c r="B24" s="57" t="s">
        <v>106</v>
      </c>
      <c r="C24" s="25"/>
      <c r="D24" s="25"/>
      <c r="E24" s="25"/>
      <c r="F24" s="25"/>
      <c r="G24" s="24" t="s">
        <v>41</v>
      </c>
      <c r="H24" s="24"/>
      <c r="I24" s="24"/>
      <c r="J24" s="101"/>
      <c r="K24" s="117"/>
      <c r="L24" s="117" t="s">
        <v>713</v>
      </c>
      <c r="M24" s="117"/>
    </row>
    <row r="25" spans="1:13" ht="13.5">
      <c r="A25" s="4"/>
      <c r="B25" s="57" t="s">
        <v>108</v>
      </c>
      <c r="C25" s="25"/>
      <c r="D25" s="25"/>
      <c r="E25" s="25"/>
      <c r="F25" s="25"/>
      <c r="G25" s="24" t="s">
        <v>41</v>
      </c>
      <c r="H25" s="24"/>
      <c r="I25" s="24"/>
      <c r="J25" s="101"/>
      <c r="K25" s="117"/>
      <c r="L25" s="117" t="s">
        <v>86</v>
      </c>
      <c r="M25" s="117"/>
    </row>
    <row r="26" spans="1:13" ht="26.25">
      <c r="A26" s="4"/>
      <c r="B26" s="67" t="s">
        <v>109</v>
      </c>
      <c r="C26" s="26"/>
      <c r="D26" s="26"/>
      <c r="E26" s="26"/>
      <c r="F26" s="26"/>
      <c r="G26" s="26" t="s">
        <v>43</v>
      </c>
      <c r="H26" s="26"/>
      <c r="I26" s="26" t="s">
        <v>554</v>
      </c>
      <c r="J26" s="102"/>
      <c r="K26" s="117"/>
      <c r="L26" s="117"/>
      <c r="M26" s="117"/>
    </row>
    <row r="27" spans="2:13" ht="14.25" customHeight="1">
      <c r="B27" s="10"/>
      <c r="C27" s="10"/>
      <c r="D27" s="10"/>
      <c r="E27" s="10"/>
      <c r="F27" s="10"/>
      <c r="G27" s="10"/>
      <c r="H27" s="10"/>
      <c r="I27" s="10"/>
      <c r="J27" s="10"/>
      <c r="K27" s="117"/>
      <c r="L27" s="117"/>
      <c r="M27" s="117"/>
    </row>
    <row r="28" spans="1:14" ht="90.75" customHeight="1">
      <c r="A28" s="4"/>
      <c r="B28" s="36" t="s">
        <v>895</v>
      </c>
      <c r="C28" s="36"/>
      <c r="D28" s="36"/>
      <c r="E28" s="36"/>
      <c r="F28" s="36"/>
      <c r="G28" s="37" t="s">
        <v>52</v>
      </c>
      <c r="H28" s="37"/>
      <c r="I28" s="37"/>
      <c r="J28" s="37"/>
      <c r="K28" s="117"/>
      <c r="L28" s="117" t="s">
        <v>896</v>
      </c>
      <c r="M28" s="117"/>
      <c r="N28" s="117"/>
    </row>
    <row r="29" spans="1:14" ht="26.25" customHeight="1">
      <c r="A29" s="4"/>
      <c r="B29" s="38" t="s">
        <v>897</v>
      </c>
      <c r="C29" s="38"/>
      <c r="D29" s="38"/>
      <c r="E29" s="38"/>
      <c r="F29" s="38"/>
      <c r="G29" s="25"/>
      <c r="H29" s="25"/>
      <c r="I29" s="25"/>
      <c r="J29" s="25"/>
      <c r="K29" s="117"/>
      <c r="L29" s="118" t="s">
        <v>898</v>
      </c>
      <c r="M29" s="117"/>
      <c r="N29" s="117"/>
    </row>
    <row r="30" spans="2:13" ht="12.75">
      <c r="B30" s="78"/>
      <c r="C30" s="78"/>
      <c r="D30" s="78"/>
      <c r="E30" s="78"/>
      <c r="F30" s="78"/>
      <c r="G30" s="54"/>
      <c r="H30" s="54"/>
      <c r="I30" s="54"/>
      <c r="J30" s="54"/>
      <c r="K30" s="117"/>
      <c r="L30" s="117"/>
      <c r="M30" s="117"/>
    </row>
    <row r="31" spans="1:14" ht="57" customHeight="1">
      <c r="A31" s="4"/>
      <c r="B31" s="36" t="s">
        <v>899</v>
      </c>
      <c r="C31" s="36"/>
      <c r="D31" s="36"/>
      <c r="E31" s="36"/>
      <c r="F31" s="36"/>
      <c r="G31" s="37" t="s">
        <v>52</v>
      </c>
      <c r="H31" s="37"/>
      <c r="I31" s="37"/>
      <c r="J31" s="37"/>
      <c r="K31" s="117"/>
      <c r="L31" s="117" t="s">
        <v>900</v>
      </c>
      <c r="M31" s="117"/>
      <c r="N31" s="117"/>
    </row>
    <row r="32" spans="1:14" ht="26.25" customHeight="1">
      <c r="A32" s="4"/>
      <c r="B32" s="38" t="s">
        <v>901</v>
      </c>
      <c r="C32" s="38"/>
      <c r="D32" s="38"/>
      <c r="E32" s="38"/>
      <c r="F32" s="38"/>
      <c r="G32" s="25"/>
      <c r="H32" s="25"/>
      <c r="I32" s="25"/>
      <c r="J32" s="25"/>
      <c r="K32" s="117"/>
      <c r="L32" s="117" t="s">
        <v>902</v>
      </c>
      <c r="M32" s="117"/>
      <c r="N32" s="117"/>
    </row>
    <row r="33" spans="2:13" ht="14.25" customHeight="1">
      <c r="B33" s="10"/>
      <c r="C33" s="10"/>
      <c r="D33" s="10"/>
      <c r="E33" s="10"/>
      <c r="F33" s="10"/>
      <c r="G33" s="10"/>
      <c r="H33" s="10"/>
      <c r="I33" s="29"/>
      <c r="J33" s="29"/>
      <c r="K33" s="117"/>
      <c r="L33" s="117"/>
      <c r="M33" s="117"/>
    </row>
    <row r="34" spans="1:13" ht="12.75">
      <c r="A34" s="4"/>
      <c r="B34" s="30" t="s">
        <v>903</v>
      </c>
      <c r="C34" s="19" t="s">
        <v>28</v>
      </c>
      <c r="D34" s="19"/>
      <c r="E34" s="19"/>
      <c r="F34" s="19"/>
      <c r="G34" s="31" t="s">
        <v>29</v>
      </c>
      <c r="H34" s="31"/>
      <c r="I34" s="32"/>
      <c r="J34" s="13"/>
      <c r="K34" s="117"/>
      <c r="L34" s="117"/>
      <c r="M34" s="117"/>
    </row>
    <row r="35" spans="1:13" ht="12.75">
      <c r="A35" s="4"/>
      <c r="B35" s="33" t="s">
        <v>32</v>
      </c>
      <c r="C35" s="23"/>
      <c r="D35" s="23" t="s">
        <v>33</v>
      </c>
      <c r="E35" s="23" t="s">
        <v>34</v>
      </c>
      <c r="F35" s="23" t="s">
        <v>35</v>
      </c>
      <c r="G35" s="33" t="s">
        <v>36</v>
      </c>
      <c r="H35" s="33" t="s">
        <v>37</v>
      </c>
      <c r="I35" s="33" t="s">
        <v>38</v>
      </c>
      <c r="J35" s="99" t="s">
        <v>39</v>
      </c>
      <c r="K35" s="117"/>
      <c r="L35" s="117"/>
      <c r="M35" s="117"/>
    </row>
    <row r="36" spans="1:13" ht="12.75">
      <c r="A36" s="4"/>
      <c r="B36" s="123" t="s">
        <v>546</v>
      </c>
      <c r="C36" s="23"/>
      <c r="D36" s="23"/>
      <c r="E36" s="23"/>
      <c r="F36" s="23"/>
      <c r="G36" s="22" t="s">
        <v>41</v>
      </c>
      <c r="H36" s="22"/>
      <c r="I36" s="22"/>
      <c r="J36" s="99"/>
      <c r="K36" s="117"/>
      <c r="L36" s="117"/>
      <c r="M36" s="117"/>
    </row>
    <row r="37" spans="1:13" ht="102.75">
      <c r="A37" s="4"/>
      <c r="B37" s="57" t="s">
        <v>904</v>
      </c>
      <c r="C37" s="25"/>
      <c r="D37" s="25"/>
      <c r="E37" s="25"/>
      <c r="F37" s="25"/>
      <c r="G37" s="24" t="s">
        <v>41</v>
      </c>
      <c r="H37" s="24"/>
      <c r="I37" s="24" t="s">
        <v>905</v>
      </c>
      <c r="J37" s="115">
        <f>HYPERLINK("NetworkAccessRecord!NA_NASubscription_naServiceID","naServiceID")</f>
        <v>0</v>
      </c>
      <c r="K37" s="117"/>
      <c r="L37" s="117" t="s">
        <v>906</v>
      </c>
      <c r="M37" s="117"/>
    </row>
    <row r="38" spans="1:13" ht="27" customHeight="1">
      <c r="A38" s="4"/>
      <c r="B38" s="57" t="s">
        <v>907</v>
      </c>
      <c r="C38" s="25"/>
      <c r="D38" s="25"/>
      <c r="E38" s="25"/>
      <c r="F38" s="25"/>
      <c r="G38" s="24" t="s">
        <v>41</v>
      </c>
      <c r="H38" s="24"/>
      <c r="I38" s="18" t="s">
        <v>908</v>
      </c>
      <c r="J38" s="101"/>
      <c r="K38" s="117"/>
      <c r="L38" s="117" t="s">
        <v>909</v>
      </c>
      <c r="M38" s="117"/>
    </row>
    <row r="39" spans="1:13" ht="27" customHeight="1">
      <c r="A39" s="4"/>
      <c r="B39" s="57" t="s">
        <v>910</v>
      </c>
      <c r="C39" s="25"/>
      <c r="D39" s="25"/>
      <c r="E39" s="25"/>
      <c r="F39" s="25"/>
      <c r="G39" s="24" t="s">
        <v>41</v>
      </c>
      <c r="H39" s="24"/>
      <c r="I39" s="18" t="s">
        <v>911</v>
      </c>
      <c r="J39" s="101"/>
      <c r="K39" s="117"/>
      <c r="L39" s="117" t="s">
        <v>912</v>
      </c>
      <c r="M39" s="117"/>
    </row>
    <row r="40" spans="1:13" ht="156.75" customHeight="1">
      <c r="A40" s="4"/>
      <c r="B40" s="57" t="s">
        <v>913</v>
      </c>
      <c r="C40" s="25"/>
      <c r="D40" s="25"/>
      <c r="E40" s="25"/>
      <c r="F40" s="25"/>
      <c r="G40" s="24" t="s">
        <v>41</v>
      </c>
      <c r="H40" s="24"/>
      <c r="I40" s="24" t="s">
        <v>914</v>
      </c>
      <c r="J40" s="115">
        <f>HYPERLINK("NetworkAccessRecord!NA_NAServiceSubscription_options","options")</f>
        <v>0</v>
      </c>
      <c r="K40" s="117"/>
      <c r="L40" s="117" t="s">
        <v>86</v>
      </c>
      <c r="M40" s="117"/>
    </row>
    <row r="41" spans="1:13" ht="13.5">
      <c r="A41" s="4"/>
      <c r="B41" s="57" t="s">
        <v>915</v>
      </c>
      <c r="C41" s="25"/>
      <c r="D41" s="25"/>
      <c r="E41" s="25"/>
      <c r="F41" s="25"/>
      <c r="G41" s="24" t="s">
        <v>41</v>
      </c>
      <c r="H41" s="24"/>
      <c r="I41" s="27">
        <f>HYPERLINK("NetworkAccessRecord!NA_NASubscription_AddressInformation","AddressInformation")</f>
        <v>0</v>
      </c>
      <c r="J41" s="101"/>
      <c r="K41" s="117"/>
      <c r="L41" s="117" t="s">
        <v>125</v>
      </c>
      <c r="M41" s="117"/>
    </row>
    <row r="42" spans="1:13" ht="13.5">
      <c r="A42" s="4"/>
      <c r="B42" s="57" t="s">
        <v>916</v>
      </c>
      <c r="C42" s="25"/>
      <c r="D42" s="25"/>
      <c r="E42" s="25"/>
      <c r="F42" s="25"/>
      <c r="G42" s="24" t="s">
        <v>41</v>
      </c>
      <c r="H42" s="24"/>
      <c r="I42" s="27">
        <f>HYPERLINK("NetworkAccessRecord!NA_NASubscription_Fix_IPAddress","IPAddress")</f>
        <v>0</v>
      </c>
      <c r="J42" s="101"/>
      <c r="K42" s="117"/>
      <c r="L42" s="117" t="s">
        <v>600</v>
      </c>
      <c r="M42" s="117"/>
    </row>
    <row r="43" spans="1:13" ht="13.5">
      <c r="A43" s="4"/>
      <c r="B43" s="57" t="s">
        <v>917</v>
      </c>
      <c r="C43" s="25"/>
      <c r="D43" s="25"/>
      <c r="E43" s="25"/>
      <c r="F43" s="25"/>
      <c r="G43" s="24" t="s">
        <v>41</v>
      </c>
      <c r="H43" s="24"/>
      <c r="I43" s="24" t="s">
        <v>203</v>
      </c>
      <c r="J43" s="101"/>
      <c r="K43" s="117"/>
      <c r="L43" s="117"/>
      <c r="M43" s="117"/>
    </row>
    <row r="44" spans="1:13" ht="217.5">
      <c r="A44" s="4"/>
      <c r="B44" s="57" t="s">
        <v>918</v>
      </c>
      <c r="C44" s="25"/>
      <c r="D44" s="25"/>
      <c r="E44" s="25"/>
      <c r="F44" s="25"/>
      <c r="G44" s="24" t="s">
        <v>919</v>
      </c>
      <c r="H44" s="24"/>
      <c r="I44" s="24" t="s">
        <v>920</v>
      </c>
      <c r="J44" s="115">
        <f>HYPERLINK("NetworkAccessRecord!NA_NASubscription_allocatedDeviceIDs","allocatedDeviceIDs")</f>
        <v>0</v>
      </c>
      <c r="K44" s="117"/>
      <c r="L44" s="117" t="s">
        <v>893</v>
      </c>
      <c r="M44" s="117"/>
    </row>
    <row r="45" spans="1:13" ht="42.75" customHeight="1">
      <c r="A45" s="4"/>
      <c r="B45" s="57" t="s">
        <v>921</v>
      </c>
      <c r="C45" s="24"/>
      <c r="D45" s="25"/>
      <c r="E45" s="25"/>
      <c r="F45" s="25"/>
      <c r="G45" s="24" t="s">
        <v>41</v>
      </c>
      <c r="H45" s="24"/>
      <c r="I45" s="24" t="s">
        <v>922</v>
      </c>
      <c r="J45" s="101"/>
      <c r="K45" s="117"/>
      <c r="L45" s="117" t="s">
        <v>923</v>
      </c>
      <c r="M45" s="117"/>
    </row>
    <row r="46" spans="1:13" ht="57">
      <c r="A46" s="4"/>
      <c r="B46" s="57" t="s">
        <v>924</v>
      </c>
      <c r="C46" s="24"/>
      <c r="D46" s="25"/>
      <c r="E46" s="25"/>
      <c r="F46" s="25"/>
      <c r="G46" s="24" t="s">
        <v>41</v>
      </c>
      <c r="H46" s="24"/>
      <c r="I46" s="24" t="s">
        <v>123</v>
      </c>
      <c r="J46" s="101"/>
      <c r="K46" s="117"/>
      <c r="L46" s="117" t="s">
        <v>86</v>
      </c>
      <c r="M46" s="117" t="s">
        <v>925</v>
      </c>
    </row>
    <row r="47" spans="1:13" ht="13.5">
      <c r="A47" s="4"/>
      <c r="B47" s="67" t="s">
        <v>926</v>
      </c>
      <c r="C47" s="26"/>
      <c r="D47" s="26"/>
      <c r="E47" s="26"/>
      <c r="F47" s="26"/>
      <c r="G47" s="26"/>
      <c r="H47" s="26" t="s">
        <v>43</v>
      </c>
      <c r="I47" s="26"/>
      <c r="J47" s="102"/>
      <c r="K47" s="117"/>
      <c r="L47" s="117"/>
      <c r="M47" s="117"/>
    </row>
    <row r="48" spans="1:13" ht="23.25">
      <c r="A48" s="4"/>
      <c r="B48" s="57" t="s">
        <v>709</v>
      </c>
      <c r="C48" s="24"/>
      <c r="D48" s="25"/>
      <c r="E48" s="25"/>
      <c r="F48" s="25"/>
      <c r="G48" s="24" t="s">
        <v>41</v>
      </c>
      <c r="H48" s="24"/>
      <c r="I48" s="27">
        <f>HYPERLINK("NetworkAccessRecord!NA_PaymentDetails","PaymentDetails")</f>
        <v>0</v>
      </c>
      <c r="J48" s="101"/>
      <c r="K48" s="117"/>
      <c r="L48" s="117" t="s">
        <v>222</v>
      </c>
      <c r="M48" s="117" t="s">
        <v>216</v>
      </c>
    </row>
    <row r="49" spans="1:13" ht="13.5">
      <c r="A49" s="4"/>
      <c r="B49" s="57" t="s">
        <v>927</v>
      </c>
      <c r="C49" s="24"/>
      <c r="D49" s="25"/>
      <c r="E49" s="25"/>
      <c r="F49" s="25"/>
      <c r="G49" s="24" t="s">
        <v>41</v>
      </c>
      <c r="H49" s="24"/>
      <c r="I49" s="27">
        <f>HYPERLINK("NetworkAccessRecord!NA_NASubscription_IPASOROM","IPAddressSetOrRangeOrMask")</f>
        <v>0</v>
      </c>
      <c r="J49" s="101"/>
      <c r="K49" s="117"/>
      <c r="L49" s="117" t="s">
        <v>791</v>
      </c>
      <c r="M49" s="117"/>
    </row>
    <row r="50" spans="2:13" ht="14.25" customHeight="1">
      <c r="B50" s="10"/>
      <c r="C50" s="10"/>
      <c r="D50" s="10"/>
      <c r="E50" s="10"/>
      <c r="F50" s="10"/>
      <c r="G50" s="10"/>
      <c r="H50" s="10"/>
      <c r="I50" s="10"/>
      <c r="J50" s="10"/>
      <c r="K50" s="117"/>
      <c r="L50" s="117"/>
      <c r="M50" s="117"/>
    </row>
    <row r="51" spans="1:14" ht="90.75" customHeight="1">
      <c r="A51" s="4"/>
      <c r="B51" s="36" t="s">
        <v>928</v>
      </c>
      <c r="C51" s="36"/>
      <c r="D51" s="36"/>
      <c r="E51" s="36"/>
      <c r="F51" s="36"/>
      <c r="G51" s="37" t="s">
        <v>52</v>
      </c>
      <c r="H51" s="37"/>
      <c r="I51" s="37"/>
      <c r="J51" s="37"/>
      <c r="K51" s="117"/>
      <c r="L51" s="117" t="s">
        <v>929</v>
      </c>
      <c r="M51" s="117"/>
      <c r="N51" s="117"/>
    </row>
    <row r="52" spans="1:14" ht="13.5" customHeight="1">
      <c r="A52" s="4"/>
      <c r="B52" s="38" t="s">
        <v>930</v>
      </c>
      <c r="C52" s="38"/>
      <c r="D52" s="38"/>
      <c r="E52" s="38"/>
      <c r="F52" s="38"/>
      <c r="G52" s="25"/>
      <c r="H52" s="25"/>
      <c r="I52" s="25"/>
      <c r="J52" s="25"/>
      <c r="K52" s="117"/>
      <c r="L52" s="117" t="s">
        <v>931</v>
      </c>
      <c r="M52" s="117"/>
      <c r="N52" s="117"/>
    </row>
    <row r="53" spans="2:13" ht="12.75">
      <c r="B53" s="78"/>
      <c r="C53" s="78"/>
      <c r="D53" s="78"/>
      <c r="E53" s="78"/>
      <c r="F53" s="78"/>
      <c r="G53" s="54"/>
      <c r="H53" s="54"/>
      <c r="I53" s="54"/>
      <c r="J53" s="54"/>
      <c r="K53" s="117"/>
      <c r="L53" s="117"/>
      <c r="M53" s="117"/>
    </row>
    <row r="54" spans="1:14" ht="57" customHeight="1">
      <c r="A54" s="4"/>
      <c r="B54" s="36" t="s">
        <v>932</v>
      </c>
      <c r="C54" s="36"/>
      <c r="D54" s="36"/>
      <c r="E54" s="36"/>
      <c r="F54" s="36"/>
      <c r="G54" s="37" t="s">
        <v>52</v>
      </c>
      <c r="H54" s="37"/>
      <c r="I54" s="37"/>
      <c r="J54" s="37"/>
      <c r="K54" s="117"/>
      <c r="L54" s="117" t="s">
        <v>86</v>
      </c>
      <c r="M54" s="117"/>
      <c r="N54" s="117"/>
    </row>
    <row r="55" spans="1:14" ht="13.5" customHeight="1">
      <c r="A55" s="4"/>
      <c r="B55" s="38" t="s">
        <v>933</v>
      </c>
      <c r="C55" s="38"/>
      <c r="D55" s="38"/>
      <c r="E55" s="38"/>
      <c r="F55" s="38"/>
      <c r="G55" s="25"/>
      <c r="H55" s="25"/>
      <c r="I55" s="25"/>
      <c r="J55" s="25"/>
      <c r="K55" s="117"/>
      <c r="L55" s="117" t="s">
        <v>86</v>
      </c>
      <c r="M55" s="117"/>
      <c r="N55" s="117"/>
    </row>
    <row r="56" spans="2:13" ht="12.75">
      <c r="B56" s="78"/>
      <c r="C56" s="78"/>
      <c r="D56" s="78"/>
      <c r="E56" s="78"/>
      <c r="F56" s="78"/>
      <c r="G56" s="54"/>
      <c r="H56" s="54"/>
      <c r="I56" s="54"/>
      <c r="J56" s="54"/>
      <c r="K56" s="117"/>
      <c r="L56" s="117"/>
      <c r="M56" s="117"/>
    </row>
    <row r="57" spans="1:14" ht="57" customHeight="1">
      <c r="A57" s="4"/>
      <c r="B57" s="36" t="s">
        <v>934</v>
      </c>
      <c r="C57" s="36"/>
      <c r="D57" s="36"/>
      <c r="E57" s="36"/>
      <c r="F57" s="36"/>
      <c r="G57" s="37" t="s">
        <v>52</v>
      </c>
      <c r="H57" s="37"/>
      <c r="I57" s="37"/>
      <c r="J57" s="37"/>
      <c r="K57" s="117"/>
      <c r="L57" s="117" t="s">
        <v>900</v>
      </c>
      <c r="M57" s="117"/>
      <c r="N57" s="117"/>
    </row>
    <row r="58" spans="1:14" ht="26.25" customHeight="1">
      <c r="A58" s="4"/>
      <c r="B58" s="38" t="s">
        <v>935</v>
      </c>
      <c r="C58" s="38"/>
      <c r="D58" s="38"/>
      <c r="E58" s="38"/>
      <c r="F58" s="38"/>
      <c r="G58" s="25"/>
      <c r="H58" s="25"/>
      <c r="I58" s="25"/>
      <c r="J58" s="25"/>
      <c r="K58" s="117"/>
      <c r="L58" s="117" t="s">
        <v>902</v>
      </c>
      <c r="M58" s="117"/>
      <c r="N58" s="117"/>
    </row>
    <row r="59" spans="2:13" ht="14.25" customHeight="1">
      <c r="B59" s="10"/>
      <c r="C59" s="10"/>
      <c r="D59" s="10"/>
      <c r="E59" s="10"/>
      <c r="F59" s="10"/>
      <c r="G59" s="10"/>
      <c r="H59" s="10"/>
      <c r="I59" s="29"/>
      <c r="J59" s="29"/>
      <c r="K59" s="117"/>
      <c r="L59" s="117"/>
      <c r="M59" s="117"/>
    </row>
    <row r="60" spans="1:13" ht="12.75">
      <c r="A60" s="4"/>
      <c r="B60" s="30" t="s">
        <v>719</v>
      </c>
      <c r="C60" s="19" t="s">
        <v>28</v>
      </c>
      <c r="D60" s="19"/>
      <c r="E60" s="19"/>
      <c r="F60" s="19"/>
      <c r="G60" s="31" t="s">
        <v>29</v>
      </c>
      <c r="H60" s="31"/>
      <c r="I60" s="32"/>
      <c r="J60" s="13"/>
      <c r="K60" s="117"/>
      <c r="L60" s="117"/>
      <c r="M60" s="117"/>
    </row>
    <row r="61" spans="1:13" ht="12.75">
      <c r="A61" s="4"/>
      <c r="B61" s="33" t="s">
        <v>32</v>
      </c>
      <c r="C61" s="23"/>
      <c r="D61" s="23" t="s">
        <v>33</v>
      </c>
      <c r="E61" s="23" t="s">
        <v>34</v>
      </c>
      <c r="F61" s="23" t="s">
        <v>35</v>
      </c>
      <c r="G61" s="33" t="s">
        <v>36</v>
      </c>
      <c r="H61" s="33" t="s">
        <v>37</v>
      </c>
      <c r="I61" s="33" t="s">
        <v>38</v>
      </c>
      <c r="J61" s="99" t="s">
        <v>39</v>
      </c>
      <c r="K61" s="117"/>
      <c r="L61" s="117"/>
      <c r="M61" s="117"/>
    </row>
    <row r="62" spans="1:13" ht="12.75">
      <c r="A62" s="4"/>
      <c r="B62" s="57" t="s">
        <v>84</v>
      </c>
      <c r="C62" s="35"/>
      <c r="D62" s="35"/>
      <c r="E62" s="35"/>
      <c r="F62" s="35"/>
      <c r="G62" s="34" t="s">
        <v>41</v>
      </c>
      <c r="H62" s="22"/>
      <c r="I62" s="22"/>
      <c r="J62" s="99"/>
      <c r="K62" s="117"/>
      <c r="L62" s="118">
        <v>2</v>
      </c>
      <c r="M62" s="117"/>
    </row>
    <row r="63" spans="1:13" ht="12.75">
      <c r="A63" s="4"/>
      <c r="B63" s="57" t="s">
        <v>85</v>
      </c>
      <c r="C63" s="35"/>
      <c r="D63" s="35"/>
      <c r="E63" s="35"/>
      <c r="F63" s="35"/>
      <c r="G63" s="34" t="s">
        <v>41</v>
      </c>
      <c r="H63" s="22"/>
      <c r="I63" s="22"/>
      <c r="J63" s="99"/>
      <c r="K63" s="117"/>
      <c r="L63" s="117" t="s">
        <v>86</v>
      </c>
      <c r="M63" s="117"/>
    </row>
    <row r="64" spans="1:13" ht="12.75">
      <c r="A64" s="4"/>
      <c r="B64" s="57" t="s">
        <v>87</v>
      </c>
      <c r="C64" s="35"/>
      <c r="D64" s="35"/>
      <c r="E64" s="35"/>
      <c r="F64" s="35"/>
      <c r="G64" s="34" t="s">
        <v>41</v>
      </c>
      <c r="H64" s="22"/>
      <c r="I64" s="22"/>
      <c r="J64" s="99"/>
      <c r="K64" s="117"/>
      <c r="L64" s="117" t="s">
        <v>88</v>
      </c>
      <c r="M64" s="117"/>
    </row>
    <row r="65" spans="1:13" ht="12.75">
      <c r="A65" s="4"/>
      <c r="B65" s="57" t="s">
        <v>89</v>
      </c>
      <c r="C65" s="35"/>
      <c r="D65" s="35"/>
      <c r="E65" s="35"/>
      <c r="F65" s="35"/>
      <c r="G65" s="34" t="s">
        <v>41</v>
      </c>
      <c r="H65" s="22"/>
      <c r="I65" s="22"/>
      <c r="J65" s="99"/>
      <c r="K65" s="117"/>
      <c r="L65" s="117" t="s">
        <v>90</v>
      </c>
      <c r="M65" s="117"/>
    </row>
    <row r="66" spans="1:13" ht="12.75">
      <c r="A66" s="4"/>
      <c r="B66" s="57" t="s">
        <v>91</v>
      </c>
      <c r="C66" s="35"/>
      <c r="D66" s="35"/>
      <c r="E66" s="35"/>
      <c r="F66" s="35"/>
      <c r="G66" s="34" t="s">
        <v>41</v>
      </c>
      <c r="H66" s="22"/>
      <c r="I66" s="22"/>
      <c r="J66" s="99"/>
      <c r="K66" s="117"/>
      <c r="L66" s="117" t="s">
        <v>92</v>
      </c>
      <c r="M66" s="117"/>
    </row>
    <row r="67" spans="1:13" ht="12.75">
      <c r="A67" s="4"/>
      <c r="B67" s="57" t="s">
        <v>93</v>
      </c>
      <c r="C67" s="35"/>
      <c r="D67" s="35"/>
      <c r="E67" s="35"/>
      <c r="F67" s="35"/>
      <c r="G67" s="34" t="s">
        <v>41</v>
      </c>
      <c r="H67" s="22"/>
      <c r="I67" s="22" t="s">
        <v>94</v>
      </c>
      <c r="J67" s="99"/>
      <c r="K67" s="117"/>
      <c r="L67" s="118">
        <v>8045</v>
      </c>
      <c r="M67" s="117"/>
    </row>
    <row r="68" spans="1:13" ht="12.75">
      <c r="A68" s="4"/>
      <c r="B68" s="67" t="s">
        <v>95</v>
      </c>
      <c r="C68" s="68"/>
      <c r="D68" s="68"/>
      <c r="E68" s="68"/>
      <c r="F68" s="68"/>
      <c r="G68" s="68"/>
      <c r="H68" s="7" t="s">
        <v>43</v>
      </c>
      <c r="I68" s="7"/>
      <c r="J68" s="108"/>
      <c r="K68" s="117"/>
      <c r="L68" s="117"/>
      <c r="M68" s="117"/>
    </row>
    <row r="69" spans="1:13" ht="27" customHeight="1">
      <c r="A69" s="4"/>
      <c r="B69" s="57" t="s">
        <v>96</v>
      </c>
      <c r="C69" s="34"/>
      <c r="D69" s="35"/>
      <c r="E69" s="35"/>
      <c r="F69" s="35"/>
      <c r="G69" s="34" t="s">
        <v>41</v>
      </c>
      <c r="H69" s="22"/>
      <c r="I69" s="18" t="s">
        <v>97</v>
      </c>
      <c r="J69" s="99"/>
      <c r="K69" s="117"/>
      <c r="L69" s="117" t="s">
        <v>98</v>
      </c>
      <c r="M69" s="117"/>
    </row>
    <row r="70" spans="1:13" ht="12.75">
      <c r="A70" s="4"/>
      <c r="B70" s="67" t="s">
        <v>99</v>
      </c>
      <c r="C70" s="68"/>
      <c r="D70" s="68"/>
      <c r="E70" s="68"/>
      <c r="F70" s="68"/>
      <c r="G70" s="68"/>
      <c r="H70" s="7" t="s">
        <v>43</v>
      </c>
      <c r="I70" s="7"/>
      <c r="J70" s="108"/>
      <c r="K70" s="117"/>
      <c r="L70" s="117"/>
      <c r="M70" s="117"/>
    </row>
    <row r="71" spans="1:13" ht="12.75">
      <c r="A71" s="4"/>
      <c r="B71" s="57" t="s">
        <v>100</v>
      </c>
      <c r="C71" s="34"/>
      <c r="D71" s="35"/>
      <c r="E71" s="35"/>
      <c r="F71" s="35"/>
      <c r="G71" s="34" t="s">
        <v>41</v>
      </c>
      <c r="H71" s="22"/>
      <c r="I71" s="22"/>
      <c r="J71" s="99"/>
      <c r="K71" s="117"/>
      <c r="L71" s="117" t="s">
        <v>101</v>
      </c>
      <c r="M71" s="117"/>
    </row>
    <row r="72" spans="1:13" ht="12.75">
      <c r="A72" s="4"/>
      <c r="B72" s="57" t="s">
        <v>102</v>
      </c>
      <c r="C72" s="34"/>
      <c r="D72" s="35"/>
      <c r="E72" s="35"/>
      <c r="F72" s="35"/>
      <c r="G72" s="34" t="s">
        <v>41</v>
      </c>
      <c r="H72" s="22"/>
      <c r="I72" s="22"/>
      <c r="J72" s="99"/>
      <c r="K72" s="117"/>
      <c r="L72" s="117" t="s">
        <v>103</v>
      </c>
      <c r="M72" s="117"/>
    </row>
    <row r="73" spans="1:13" ht="12.75">
      <c r="A73" s="4"/>
      <c r="B73" s="57" t="s">
        <v>242</v>
      </c>
      <c r="C73" s="34"/>
      <c r="D73" s="35"/>
      <c r="E73" s="35"/>
      <c r="F73" s="35"/>
      <c r="G73" s="34" t="s">
        <v>41</v>
      </c>
      <c r="H73" s="22"/>
      <c r="I73" s="59">
        <f>HYPERLINK("NetworkAccessRecord!NA_NASubscription_Address_TimeSpan","TimeSpan")</f>
        <v>0</v>
      </c>
      <c r="J73" s="99"/>
      <c r="K73" s="117"/>
      <c r="L73" s="117" t="s">
        <v>189</v>
      </c>
      <c r="M73" s="117"/>
    </row>
    <row r="74" spans="2:13" ht="14.25" customHeight="1">
      <c r="B74" s="10"/>
      <c r="C74" s="10"/>
      <c r="D74" s="10"/>
      <c r="E74" s="10"/>
      <c r="F74" s="10"/>
      <c r="G74" s="10"/>
      <c r="H74" s="10"/>
      <c r="I74" s="29"/>
      <c r="J74" s="29"/>
      <c r="K74" s="117"/>
      <c r="L74" s="117"/>
      <c r="M74" s="117"/>
    </row>
    <row r="75" spans="1:13" ht="12.75">
      <c r="A75" s="4"/>
      <c r="B75" s="30" t="s">
        <v>231</v>
      </c>
      <c r="C75" s="19" t="s">
        <v>28</v>
      </c>
      <c r="D75" s="19"/>
      <c r="E75" s="19"/>
      <c r="F75" s="19"/>
      <c r="G75" s="31" t="s">
        <v>29</v>
      </c>
      <c r="H75" s="31"/>
      <c r="I75" s="32"/>
      <c r="J75" s="13"/>
      <c r="K75" s="117"/>
      <c r="L75" s="117"/>
      <c r="M75" s="117"/>
    </row>
    <row r="76" spans="1:13" ht="12.75">
      <c r="A76" s="4"/>
      <c r="B76" s="33" t="s">
        <v>32</v>
      </c>
      <c r="C76" s="23"/>
      <c r="D76" s="23" t="s">
        <v>33</v>
      </c>
      <c r="E76" s="23" t="s">
        <v>34</v>
      </c>
      <c r="F76" s="23" t="s">
        <v>35</v>
      </c>
      <c r="G76" s="33" t="s">
        <v>36</v>
      </c>
      <c r="H76" s="33" t="s">
        <v>37</v>
      </c>
      <c r="I76" s="33" t="s">
        <v>38</v>
      </c>
      <c r="J76" s="99" t="s">
        <v>39</v>
      </c>
      <c r="K76" s="117"/>
      <c r="L76" s="117"/>
      <c r="M76" s="117"/>
    </row>
    <row r="77" spans="1:13" ht="28.5" customHeight="1">
      <c r="A77" s="4"/>
      <c r="B77" s="57" t="s">
        <v>106</v>
      </c>
      <c r="C77" s="25"/>
      <c r="D77" s="25"/>
      <c r="E77" s="25"/>
      <c r="F77" s="25"/>
      <c r="G77" s="24" t="s">
        <v>41</v>
      </c>
      <c r="H77" s="24"/>
      <c r="I77" s="24" t="s">
        <v>244</v>
      </c>
      <c r="J77" s="101"/>
      <c r="K77" s="117"/>
      <c r="L77" s="117" t="s">
        <v>107</v>
      </c>
      <c r="M77" s="117"/>
    </row>
    <row r="78" spans="1:13" ht="28.5" customHeight="1">
      <c r="A78" s="4"/>
      <c r="B78" s="57" t="s">
        <v>108</v>
      </c>
      <c r="C78" s="25"/>
      <c r="D78" s="25"/>
      <c r="E78" s="25"/>
      <c r="F78" s="25"/>
      <c r="G78" s="24" t="s">
        <v>41</v>
      </c>
      <c r="H78" s="24"/>
      <c r="I78" s="24" t="s">
        <v>246</v>
      </c>
      <c r="J78" s="101"/>
      <c r="K78" s="117"/>
      <c r="L78" s="117" t="s">
        <v>86</v>
      </c>
      <c r="M78" s="117"/>
    </row>
    <row r="79" spans="1:13" ht="13.5">
      <c r="A79" s="4"/>
      <c r="B79" s="67" t="s">
        <v>109</v>
      </c>
      <c r="C79" s="26"/>
      <c r="D79" s="26"/>
      <c r="E79" s="26"/>
      <c r="F79" s="26"/>
      <c r="G79" s="26"/>
      <c r="H79" s="26" t="s">
        <v>43</v>
      </c>
      <c r="I79" s="26"/>
      <c r="J79" s="102"/>
      <c r="K79" s="117"/>
      <c r="L79" s="117"/>
      <c r="M79" s="117"/>
    </row>
    <row r="80" spans="2:13" ht="14.25" customHeight="1">
      <c r="B80" s="10"/>
      <c r="C80" s="10"/>
      <c r="D80" s="10"/>
      <c r="E80" s="10"/>
      <c r="F80" s="10"/>
      <c r="G80" s="10"/>
      <c r="H80" s="10"/>
      <c r="I80" s="29"/>
      <c r="J80" s="29"/>
      <c r="K80" s="117"/>
      <c r="L80" s="117"/>
      <c r="M80" s="117"/>
    </row>
    <row r="81" spans="1:13" ht="12.75">
      <c r="A81" s="4"/>
      <c r="B81" s="30" t="s">
        <v>936</v>
      </c>
      <c r="C81" s="19" t="s">
        <v>28</v>
      </c>
      <c r="D81" s="19"/>
      <c r="E81" s="19"/>
      <c r="F81" s="19"/>
      <c r="G81" s="31" t="s">
        <v>29</v>
      </c>
      <c r="H81" s="31"/>
      <c r="I81" s="32"/>
      <c r="J81" s="13"/>
      <c r="K81" s="117"/>
      <c r="L81" s="117"/>
      <c r="M81" s="117"/>
    </row>
    <row r="82" spans="1:13" ht="12.75">
      <c r="A82" s="4"/>
      <c r="B82" s="33" t="s">
        <v>32</v>
      </c>
      <c r="C82" s="23"/>
      <c r="D82" s="23" t="s">
        <v>33</v>
      </c>
      <c r="E82" s="23" t="s">
        <v>34</v>
      </c>
      <c r="F82" s="23" t="s">
        <v>35</v>
      </c>
      <c r="G82" s="33" t="s">
        <v>36</v>
      </c>
      <c r="H82" s="33" t="s">
        <v>37</v>
      </c>
      <c r="I82" s="33" t="s">
        <v>38</v>
      </c>
      <c r="J82" s="99" t="s">
        <v>39</v>
      </c>
      <c r="K82" s="117"/>
      <c r="L82" s="117"/>
      <c r="M82" s="117"/>
    </row>
    <row r="83" spans="1:13" ht="12.75">
      <c r="A83" s="4"/>
      <c r="B83" s="57" t="s">
        <v>621</v>
      </c>
      <c r="C83" s="35"/>
      <c r="D83" s="35"/>
      <c r="E83" s="35"/>
      <c r="F83" s="35"/>
      <c r="G83" s="34" t="s">
        <v>41</v>
      </c>
      <c r="H83" s="22"/>
      <c r="I83" s="22" t="s">
        <v>622</v>
      </c>
      <c r="J83" s="99"/>
      <c r="K83" s="117"/>
      <c r="L83" s="117" t="s">
        <v>86</v>
      </c>
      <c r="M83" s="117"/>
    </row>
    <row r="84" spans="1:13" ht="12.75">
      <c r="A84" s="4"/>
      <c r="B84" s="57" t="s">
        <v>624</v>
      </c>
      <c r="C84" s="35"/>
      <c r="D84" s="35"/>
      <c r="E84" s="35"/>
      <c r="F84" s="35"/>
      <c r="G84" s="34" t="s">
        <v>41</v>
      </c>
      <c r="H84" s="22"/>
      <c r="I84" s="22" t="s">
        <v>625</v>
      </c>
      <c r="J84" s="99"/>
      <c r="K84" s="117"/>
      <c r="L84" s="117" t="s">
        <v>86</v>
      </c>
      <c r="M84" s="117"/>
    </row>
    <row r="85" spans="1:13" ht="12.75">
      <c r="A85" s="4"/>
      <c r="B85" s="57" t="s">
        <v>626</v>
      </c>
      <c r="C85" s="35"/>
      <c r="D85" s="35"/>
      <c r="E85" s="35"/>
      <c r="F85" s="35"/>
      <c r="G85" s="34" t="s">
        <v>41</v>
      </c>
      <c r="H85" s="22"/>
      <c r="I85" s="22" t="s">
        <v>627</v>
      </c>
      <c r="J85" s="99"/>
      <c r="K85" s="117"/>
      <c r="L85" s="117" t="s">
        <v>86</v>
      </c>
      <c r="M85" s="117"/>
    </row>
    <row r="86" spans="2:13" ht="14.25" customHeight="1">
      <c r="B86" s="10"/>
      <c r="C86" s="10"/>
      <c r="D86" s="10"/>
      <c r="E86" s="10"/>
      <c r="F86" s="10"/>
      <c r="G86" s="10"/>
      <c r="H86" s="10"/>
      <c r="I86" s="29"/>
      <c r="J86" s="29"/>
      <c r="K86" s="117"/>
      <c r="L86" s="117"/>
      <c r="M86" s="117"/>
    </row>
    <row r="87" spans="1:13" ht="12.75">
      <c r="A87" s="4"/>
      <c r="B87" s="30" t="s">
        <v>247</v>
      </c>
      <c r="C87" s="19" t="s">
        <v>28</v>
      </c>
      <c r="D87" s="19"/>
      <c r="E87" s="19"/>
      <c r="F87" s="19"/>
      <c r="G87" s="31" t="s">
        <v>29</v>
      </c>
      <c r="H87" s="31"/>
      <c r="I87" s="32"/>
      <c r="J87" s="13"/>
      <c r="K87" s="117"/>
      <c r="L87" s="117"/>
      <c r="M87" s="117"/>
    </row>
    <row r="88" spans="1:13" ht="12.75">
      <c r="A88" s="4"/>
      <c r="B88" s="33" t="s">
        <v>32</v>
      </c>
      <c r="C88" s="23"/>
      <c r="D88" s="23" t="s">
        <v>33</v>
      </c>
      <c r="E88" s="23" t="s">
        <v>34</v>
      </c>
      <c r="F88" s="23" t="s">
        <v>35</v>
      </c>
      <c r="G88" s="33" t="s">
        <v>36</v>
      </c>
      <c r="H88" s="33" t="s">
        <v>37</v>
      </c>
      <c r="I88" s="33" t="s">
        <v>38</v>
      </c>
      <c r="J88" s="99" t="s">
        <v>39</v>
      </c>
      <c r="K88" s="117"/>
      <c r="L88" s="117"/>
      <c r="M88" s="117"/>
    </row>
    <row r="89" spans="1:13" ht="12.75">
      <c r="A89" s="4"/>
      <c r="B89" s="57" t="s">
        <v>248</v>
      </c>
      <c r="C89" s="35"/>
      <c r="D89" s="35"/>
      <c r="E89" s="35"/>
      <c r="F89" s="35"/>
      <c r="G89" s="34" t="s">
        <v>41</v>
      </c>
      <c r="H89" s="22"/>
      <c r="I89" s="59">
        <f>HYPERLINK("NetworkAccessRecord!NA_PaymentDetails_BillingMethod","BillingMethod")</f>
        <v>0</v>
      </c>
      <c r="J89" s="99"/>
      <c r="K89" s="117"/>
      <c r="L89" s="117" t="s">
        <v>249</v>
      </c>
      <c r="M89" s="117"/>
    </row>
    <row r="90" spans="1:13" ht="12.75">
      <c r="A90" s="4"/>
      <c r="B90" s="57" t="s">
        <v>250</v>
      </c>
      <c r="C90" s="35"/>
      <c r="D90" s="35"/>
      <c r="E90" s="35"/>
      <c r="F90" s="35"/>
      <c r="G90" s="34" t="s">
        <v>41</v>
      </c>
      <c r="H90" s="22"/>
      <c r="I90" s="59">
        <f>HYPERLINK("NetworkAccessRecord!NA_PaymentDetails_BankAccount","BankAccount")</f>
        <v>0</v>
      </c>
      <c r="J90" s="99"/>
      <c r="K90" s="117"/>
      <c r="L90" s="117" t="s">
        <v>251</v>
      </c>
      <c r="M90" s="117"/>
    </row>
    <row r="91" spans="1:13" ht="12.75">
      <c r="A91" s="4"/>
      <c r="B91" s="57" t="s">
        <v>252</v>
      </c>
      <c r="C91" s="35"/>
      <c r="D91" s="35"/>
      <c r="E91" s="35"/>
      <c r="F91" s="35"/>
      <c r="G91" s="34" t="s">
        <v>41</v>
      </c>
      <c r="H91" s="22"/>
      <c r="I91" s="59">
        <f>HYPERLINK("NetworkAccessRecord!NA_PaymentDetails_ContactDetails","ContactDetails")</f>
        <v>0</v>
      </c>
      <c r="J91" s="99"/>
      <c r="K91" s="117"/>
      <c r="L91" s="117" t="s">
        <v>113</v>
      </c>
      <c r="M91" s="117"/>
    </row>
    <row r="92" spans="2:13" ht="14.25" customHeight="1">
      <c r="B92" s="10"/>
      <c r="C92" s="10"/>
      <c r="D92" s="10"/>
      <c r="E92" s="10"/>
      <c r="F92" s="10"/>
      <c r="G92" s="10"/>
      <c r="H92" s="10"/>
      <c r="I92" s="29"/>
      <c r="J92" s="29"/>
      <c r="K92" s="117"/>
      <c r="L92" s="117"/>
      <c r="M92" s="117"/>
    </row>
    <row r="93" spans="1:13" ht="12.75">
      <c r="A93" s="4"/>
      <c r="B93" s="30" t="s">
        <v>253</v>
      </c>
      <c r="C93" s="19" t="s">
        <v>28</v>
      </c>
      <c r="D93" s="19"/>
      <c r="E93" s="19"/>
      <c r="F93" s="19"/>
      <c r="G93" s="31" t="s">
        <v>29</v>
      </c>
      <c r="H93" s="31"/>
      <c r="I93" s="32"/>
      <c r="J93" s="13"/>
      <c r="K93" s="117"/>
      <c r="L93" s="117"/>
      <c r="M93" s="117"/>
    </row>
    <row r="94" spans="1:13" ht="12.75">
      <c r="A94" s="4"/>
      <c r="B94" s="33" t="s">
        <v>32</v>
      </c>
      <c r="C94" s="23"/>
      <c r="D94" s="23" t="s">
        <v>33</v>
      </c>
      <c r="E94" s="23" t="s">
        <v>34</v>
      </c>
      <c r="F94" s="23" t="s">
        <v>35</v>
      </c>
      <c r="G94" s="33" t="s">
        <v>36</v>
      </c>
      <c r="H94" s="33" t="s">
        <v>37</v>
      </c>
      <c r="I94" s="33" t="s">
        <v>38</v>
      </c>
      <c r="J94" s="99" t="s">
        <v>39</v>
      </c>
      <c r="K94" s="117"/>
      <c r="L94" s="117"/>
      <c r="M94" s="117"/>
    </row>
    <row r="95" spans="1:13" ht="12.75">
      <c r="A95" s="4"/>
      <c r="B95" s="57" t="s">
        <v>254</v>
      </c>
      <c r="C95" s="35"/>
      <c r="D95" s="35"/>
      <c r="E95" s="35"/>
      <c r="F95" s="35"/>
      <c r="G95" s="34" t="s">
        <v>41</v>
      </c>
      <c r="H95" s="22"/>
      <c r="I95" s="22"/>
      <c r="J95" s="99"/>
      <c r="K95" s="117"/>
      <c r="L95" s="117"/>
      <c r="M95" s="117"/>
    </row>
    <row r="96" spans="1:13" ht="12.75">
      <c r="A96" s="4"/>
      <c r="B96" s="57" t="s">
        <v>255</v>
      </c>
      <c r="C96" s="35"/>
      <c r="D96" s="35"/>
      <c r="E96" s="35"/>
      <c r="F96" s="35"/>
      <c r="G96" s="34" t="s">
        <v>41</v>
      </c>
      <c r="H96" s="22"/>
      <c r="I96" s="22"/>
      <c r="J96" s="99"/>
      <c r="K96" s="117"/>
      <c r="L96" s="117" t="s">
        <v>574</v>
      </c>
      <c r="M96" s="117"/>
    </row>
    <row r="97" spans="1:13" ht="12.75">
      <c r="A97" s="4"/>
      <c r="B97" s="57" t="s">
        <v>256</v>
      </c>
      <c r="C97" s="35"/>
      <c r="D97" s="35"/>
      <c r="E97" s="35"/>
      <c r="F97" s="35"/>
      <c r="G97" s="34" t="s">
        <v>41</v>
      </c>
      <c r="H97" s="22"/>
      <c r="I97" s="22"/>
      <c r="J97" s="99"/>
      <c r="K97" s="117"/>
      <c r="L97" s="117"/>
      <c r="M97" s="117"/>
    </row>
    <row r="98" spans="2:13" ht="14.25" customHeight="1">
      <c r="B98" s="10"/>
      <c r="C98" s="10"/>
      <c r="D98" s="10"/>
      <c r="E98" s="10"/>
      <c r="F98" s="10"/>
      <c r="G98" s="10"/>
      <c r="H98" s="10"/>
      <c r="I98" s="29"/>
      <c r="J98" s="29"/>
      <c r="K98" s="117"/>
      <c r="L98" s="117"/>
      <c r="M98" s="117"/>
    </row>
    <row r="99" spans="1:13" ht="12.75">
      <c r="A99" s="4"/>
      <c r="B99" s="30" t="s">
        <v>258</v>
      </c>
      <c r="C99" s="19" t="s">
        <v>28</v>
      </c>
      <c r="D99" s="19"/>
      <c r="E99" s="19"/>
      <c r="F99" s="19"/>
      <c r="G99" s="31" t="s">
        <v>29</v>
      </c>
      <c r="H99" s="31"/>
      <c r="I99" s="32"/>
      <c r="J99" s="13"/>
      <c r="K99" s="117"/>
      <c r="L99" s="117"/>
      <c r="M99" s="117"/>
    </row>
    <row r="100" spans="1:13" ht="12.75">
      <c r="A100" s="4"/>
      <c r="B100" s="33" t="s">
        <v>32</v>
      </c>
      <c r="C100" s="23"/>
      <c r="D100" s="23" t="s">
        <v>33</v>
      </c>
      <c r="E100" s="23" t="s">
        <v>34</v>
      </c>
      <c r="F100" s="23" t="s">
        <v>35</v>
      </c>
      <c r="G100" s="33" t="s">
        <v>36</v>
      </c>
      <c r="H100" s="33" t="s">
        <v>37</v>
      </c>
      <c r="I100" s="33" t="s">
        <v>38</v>
      </c>
      <c r="J100" s="99" t="s">
        <v>39</v>
      </c>
      <c r="K100" s="117"/>
      <c r="L100" s="117"/>
      <c r="M100" s="117"/>
    </row>
    <row r="101" spans="1:13" ht="57" customHeight="1">
      <c r="A101" s="4"/>
      <c r="B101" s="57" t="s">
        <v>259</v>
      </c>
      <c r="C101" s="35"/>
      <c r="D101" s="35"/>
      <c r="E101" s="35"/>
      <c r="F101" s="35"/>
      <c r="G101" s="34" t="s">
        <v>41</v>
      </c>
      <c r="H101" s="22"/>
      <c r="I101" s="24" t="s">
        <v>260</v>
      </c>
      <c r="J101" s="101"/>
      <c r="K101" s="117"/>
      <c r="L101" s="117" t="s">
        <v>575</v>
      </c>
      <c r="M101" s="117"/>
    </row>
    <row r="102" spans="1:13" ht="42.75" customHeight="1">
      <c r="A102" s="4"/>
      <c r="B102" s="57" t="s">
        <v>262</v>
      </c>
      <c r="C102" s="35"/>
      <c r="D102" s="35"/>
      <c r="E102" s="35"/>
      <c r="F102" s="35"/>
      <c r="G102" s="34" t="s">
        <v>263</v>
      </c>
      <c r="H102" s="22"/>
      <c r="I102" s="24" t="s">
        <v>264</v>
      </c>
      <c r="J102" s="101"/>
      <c r="K102" s="117"/>
      <c r="L102" s="117" t="s">
        <v>576</v>
      </c>
      <c r="M102" s="117"/>
    </row>
    <row r="103" spans="1:13" ht="13.5">
      <c r="A103" s="4"/>
      <c r="B103" s="57" t="s">
        <v>265</v>
      </c>
      <c r="C103" s="35"/>
      <c r="D103" s="35"/>
      <c r="E103" s="35"/>
      <c r="F103" s="35"/>
      <c r="G103" s="34" t="s">
        <v>41</v>
      </c>
      <c r="H103" s="22"/>
      <c r="I103" s="24" t="s">
        <v>123</v>
      </c>
      <c r="J103" s="101"/>
      <c r="K103" s="117"/>
      <c r="L103" s="117" t="s">
        <v>66</v>
      </c>
      <c r="M103" s="117"/>
    </row>
    <row r="104" spans="1:13" ht="42.75" customHeight="1">
      <c r="A104" s="4"/>
      <c r="B104" s="57" t="s">
        <v>266</v>
      </c>
      <c r="C104" s="35"/>
      <c r="D104" s="35"/>
      <c r="E104" s="35"/>
      <c r="F104" s="35"/>
      <c r="G104" s="34" t="s">
        <v>41</v>
      </c>
      <c r="H104" s="22"/>
      <c r="I104" s="24" t="s">
        <v>267</v>
      </c>
      <c r="J104" s="101"/>
      <c r="K104" s="117"/>
      <c r="L104" s="117" t="s">
        <v>86</v>
      </c>
      <c r="M104" s="117"/>
    </row>
    <row r="105" spans="1:13" ht="39">
      <c r="A105" s="4"/>
      <c r="B105" s="57" t="s">
        <v>268</v>
      </c>
      <c r="C105" s="35"/>
      <c r="D105" s="35"/>
      <c r="E105" s="35"/>
      <c r="F105" s="35"/>
      <c r="G105" s="34" t="s">
        <v>41</v>
      </c>
      <c r="H105" s="22"/>
      <c r="I105" s="24" t="s">
        <v>269</v>
      </c>
      <c r="J105" s="101"/>
      <c r="K105" s="117"/>
      <c r="L105" s="117" t="s">
        <v>86</v>
      </c>
      <c r="M105" s="117"/>
    </row>
    <row r="106" spans="1:13" ht="13.5">
      <c r="A106" s="4"/>
      <c r="B106" s="57" t="s">
        <v>270</v>
      </c>
      <c r="C106" s="35"/>
      <c r="D106" s="35"/>
      <c r="E106" s="35"/>
      <c r="F106" s="35"/>
      <c r="G106" s="34" t="s">
        <v>41</v>
      </c>
      <c r="H106" s="22"/>
      <c r="I106" s="24" t="s">
        <v>123</v>
      </c>
      <c r="J106" s="101"/>
      <c r="K106" s="117"/>
      <c r="L106" s="117" t="s">
        <v>577</v>
      </c>
      <c r="M106" s="117"/>
    </row>
    <row r="107" spans="2:13" ht="14.25" customHeight="1">
      <c r="B107" s="10"/>
      <c r="C107" s="10"/>
      <c r="D107" s="10"/>
      <c r="E107" s="10"/>
      <c r="F107" s="10"/>
      <c r="G107" s="10"/>
      <c r="H107" s="10"/>
      <c r="I107" s="29"/>
      <c r="J107" s="29"/>
      <c r="K107" s="117"/>
      <c r="L107" s="117"/>
      <c r="M107" s="117"/>
    </row>
    <row r="108" spans="1:13" ht="12.75">
      <c r="A108" s="4"/>
      <c r="B108" s="30" t="s">
        <v>285</v>
      </c>
      <c r="C108" s="19" t="s">
        <v>28</v>
      </c>
      <c r="D108" s="19"/>
      <c r="E108" s="19"/>
      <c r="F108" s="19"/>
      <c r="G108" s="31" t="s">
        <v>29</v>
      </c>
      <c r="H108" s="31"/>
      <c r="I108" s="32"/>
      <c r="J108" s="13"/>
      <c r="K108" s="117"/>
      <c r="L108" s="117"/>
      <c r="M108" s="117"/>
    </row>
    <row r="109" spans="1:13" ht="12.75">
      <c r="A109" s="4"/>
      <c r="B109" s="33" t="s">
        <v>32</v>
      </c>
      <c r="C109" s="23"/>
      <c r="D109" s="23" t="s">
        <v>33</v>
      </c>
      <c r="E109" s="23" t="s">
        <v>34</v>
      </c>
      <c r="F109" s="23" t="s">
        <v>35</v>
      </c>
      <c r="G109" s="33" t="s">
        <v>36</v>
      </c>
      <c r="H109" s="33" t="s">
        <v>37</v>
      </c>
      <c r="I109" s="33" t="s">
        <v>38</v>
      </c>
      <c r="J109" s="99" t="s">
        <v>39</v>
      </c>
      <c r="K109" s="117"/>
      <c r="L109" s="117"/>
      <c r="M109" s="117"/>
    </row>
    <row r="110" spans="1:13" ht="12.75">
      <c r="A110" s="4"/>
      <c r="B110" s="63" t="s">
        <v>74</v>
      </c>
      <c r="C110" s="23"/>
      <c r="D110" s="23"/>
      <c r="E110" s="23"/>
      <c r="F110" s="23"/>
      <c r="G110" s="22" t="s">
        <v>41</v>
      </c>
      <c r="H110" s="22"/>
      <c r="I110" s="59">
        <f>HYPERLINK("NetworkAccessRecord!NA_PaymentDetails_AddressInformation","AddressInformation")</f>
        <v>0</v>
      </c>
      <c r="J110" s="99"/>
      <c r="K110" s="117"/>
      <c r="L110" s="117" t="s">
        <v>419</v>
      </c>
      <c r="M110" s="117"/>
    </row>
    <row r="111" spans="1:13" ht="12.75">
      <c r="A111" s="4"/>
      <c r="B111" s="57" t="s">
        <v>76</v>
      </c>
      <c r="C111" s="35"/>
      <c r="D111" s="35"/>
      <c r="E111" s="35"/>
      <c r="F111" s="35"/>
      <c r="G111" s="34" t="s">
        <v>41</v>
      </c>
      <c r="H111" s="22"/>
      <c r="I111" s="22"/>
      <c r="J111" s="99"/>
      <c r="K111" s="117"/>
      <c r="L111" s="117" t="s">
        <v>578</v>
      </c>
      <c r="M111" s="117"/>
    </row>
    <row r="112" spans="1:13" ht="26.25">
      <c r="A112" s="4"/>
      <c r="B112" s="57" t="s">
        <v>78</v>
      </c>
      <c r="C112" s="35"/>
      <c r="D112" s="35"/>
      <c r="E112" s="35"/>
      <c r="F112" s="35"/>
      <c r="G112" s="34" t="s">
        <v>41</v>
      </c>
      <c r="H112" s="22"/>
      <c r="I112" s="24" t="s">
        <v>79</v>
      </c>
      <c r="J112" s="99"/>
      <c r="K112" s="117"/>
      <c r="L112" s="118">
        <v>41712985849</v>
      </c>
      <c r="M112" s="117"/>
    </row>
    <row r="113" spans="1:13" ht="26.25">
      <c r="A113" s="4"/>
      <c r="B113" s="57" t="s">
        <v>80</v>
      </c>
      <c r="C113" s="35"/>
      <c r="D113" s="35"/>
      <c r="E113" s="35"/>
      <c r="F113" s="35"/>
      <c r="G113" s="34" t="s">
        <v>41</v>
      </c>
      <c r="H113" s="22"/>
      <c r="I113" s="24" t="s">
        <v>81</v>
      </c>
      <c r="J113" s="99"/>
      <c r="K113" s="117"/>
      <c r="L113" s="117" t="s">
        <v>86</v>
      </c>
      <c r="M113" s="117"/>
    </row>
    <row r="114" spans="2:13" ht="14.25" customHeight="1">
      <c r="B114" s="10"/>
      <c r="C114" s="10"/>
      <c r="D114" s="10"/>
      <c r="E114" s="10"/>
      <c r="F114" s="10"/>
      <c r="G114" s="10"/>
      <c r="H114" s="10"/>
      <c r="I114" s="29"/>
      <c r="J114" s="29"/>
      <c r="K114" s="117"/>
      <c r="L114" s="117"/>
      <c r="M114" s="117"/>
    </row>
    <row r="115" spans="1:13" ht="12.75">
      <c r="A115" s="4"/>
      <c r="B115" s="30" t="s">
        <v>83</v>
      </c>
      <c r="C115" s="19" t="s">
        <v>28</v>
      </c>
      <c r="D115" s="19"/>
      <c r="E115" s="19"/>
      <c r="F115" s="19"/>
      <c r="G115" s="31" t="s">
        <v>29</v>
      </c>
      <c r="H115" s="31"/>
      <c r="I115" s="32"/>
      <c r="J115" s="13"/>
      <c r="K115" s="117"/>
      <c r="L115" s="117"/>
      <c r="M115" s="117"/>
    </row>
    <row r="116" spans="1:13" ht="12.75">
      <c r="A116" s="4"/>
      <c r="B116" s="33" t="s">
        <v>32</v>
      </c>
      <c r="C116" s="23"/>
      <c r="D116" s="23" t="s">
        <v>33</v>
      </c>
      <c r="E116" s="23" t="s">
        <v>34</v>
      </c>
      <c r="F116" s="23" t="s">
        <v>35</v>
      </c>
      <c r="G116" s="33" t="s">
        <v>36</v>
      </c>
      <c r="H116" s="33" t="s">
        <v>37</v>
      </c>
      <c r="I116" s="33" t="s">
        <v>38</v>
      </c>
      <c r="J116" s="99" t="s">
        <v>39</v>
      </c>
      <c r="K116" s="117"/>
      <c r="L116" s="117"/>
      <c r="M116" s="117"/>
    </row>
    <row r="117" spans="1:13" ht="12.75">
      <c r="A117" s="4"/>
      <c r="B117" s="57" t="s">
        <v>84</v>
      </c>
      <c r="C117" s="35"/>
      <c r="D117" s="35"/>
      <c r="E117" s="35"/>
      <c r="F117" s="35"/>
      <c r="G117" s="34" t="s">
        <v>41</v>
      </c>
      <c r="H117" s="22"/>
      <c r="I117" s="22"/>
      <c r="J117" s="99"/>
      <c r="K117" s="117"/>
      <c r="L117" s="118">
        <v>2</v>
      </c>
      <c r="M117" s="117"/>
    </row>
    <row r="118" spans="1:13" ht="12.75">
      <c r="A118" s="4"/>
      <c r="B118" s="57" t="s">
        <v>85</v>
      </c>
      <c r="C118" s="35"/>
      <c r="D118" s="35"/>
      <c r="E118" s="35"/>
      <c r="F118" s="35"/>
      <c r="G118" s="34" t="s">
        <v>41</v>
      </c>
      <c r="H118" s="22"/>
      <c r="I118" s="22"/>
      <c r="J118" s="99"/>
      <c r="K118" s="117"/>
      <c r="L118" s="117" t="s">
        <v>86</v>
      </c>
      <c r="M118" s="117"/>
    </row>
    <row r="119" spans="1:13" ht="12.75">
      <c r="A119" s="4"/>
      <c r="B119" s="57" t="s">
        <v>87</v>
      </c>
      <c r="C119" s="35"/>
      <c r="D119" s="35"/>
      <c r="E119" s="35"/>
      <c r="F119" s="35"/>
      <c r="G119" s="34" t="s">
        <v>41</v>
      </c>
      <c r="H119" s="22"/>
      <c r="I119" s="22"/>
      <c r="J119" s="99"/>
      <c r="K119" s="117"/>
      <c r="L119" s="117" t="s">
        <v>88</v>
      </c>
      <c r="M119" s="117"/>
    </row>
    <row r="120" spans="1:13" ht="12.75">
      <c r="A120" s="4"/>
      <c r="B120" s="57" t="s">
        <v>89</v>
      </c>
      <c r="C120" s="35"/>
      <c r="D120" s="35"/>
      <c r="E120" s="35"/>
      <c r="F120" s="35"/>
      <c r="G120" s="34" t="s">
        <v>41</v>
      </c>
      <c r="H120" s="22"/>
      <c r="I120" s="22"/>
      <c r="J120" s="99"/>
      <c r="K120" s="117"/>
      <c r="L120" s="117" t="s">
        <v>90</v>
      </c>
      <c r="M120" s="117"/>
    </row>
    <row r="121" spans="1:13" ht="12.75">
      <c r="A121" s="4"/>
      <c r="B121" s="57" t="s">
        <v>91</v>
      </c>
      <c r="C121" s="35"/>
      <c r="D121" s="35"/>
      <c r="E121" s="35"/>
      <c r="F121" s="35"/>
      <c r="G121" s="34" t="s">
        <v>41</v>
      </c>
      <c r="H121" s="22"/>
      <c r="I121" s="22"/>
      <c r="J121" s="99"/>
      <c r="K121" s="117"/>
      <c r="L121" s="117" t="s">
        <v>92</v>
      </c>
      <c r="M121" s="117"/>
    </row>
    <row r="122" spans="1:13" ht="12.75">
      <c r="A122" s="4"/>
      <c r="B122" s="57" t="s">
        <v>93</v>
      </c>
      <c r="C122" s="35"/>
      <c r="D122" s="35"/>
      <c r="E122" s="35"/>
      <c r="F122" s="35"/>
      <c r="G122" s="34" t="s">
        <v>41</v>
      </c>
      <c r="H122" s="22"/>
      <c r="I122" s="22" t="s">
        <v>94</v>
      </c>
      <c r="J122" s="99"/>
      <c r="K122" s="117"/>
      <c r="L122" s="118">
        <v>8045</v>
      </c>
      <c r="M122" s="117"/>
    </row>
    <row r="123" spans="1:13" ht="12.75">
      <c r="A123" s="4"/>
      <c r="B123" s="67" t="s">
        <v>95</v>
      </c>
      <c r="C123" s="68"/>
      <c r="D123" s="68"/>
      <c r="E123" s="68"/>
      <c r="F123" s="68"/>
      <c r="G123" s="68"/>
      <c r="H123" s="7" t="s">
        <v>43</v>
      </c>
      <c r="I123" s="7"/>
      <c r="J123" s="108"/>
      <c r="K123" s="117"/>
      <c r="L123" s="117"/>
      <c r="M123" s="117"/>
    </row>
    <row r="124" spans="1:13" ht="27" customHeight="1">
      <c r="A124" s="4"/>
      <c r="B124" s="57" t="s">
        <v>96</v>
      </c>
      <c r="C124" s="34"/>
      <c r="D124" s="35"/>
      <c r="E124" s="35"/>
      <c r="F124" s="35"/>
      <c r="G124" s="34" t="s">
        <v>41</v>
      </c>
      <c r="H124" s="22"/>
      <c r="I124" s="18" t="s">
        <v>97</v>
      </c>
      <c r="J124" s="99"/>
      <c r="K124" s="117"/>
      <c r="L124" s="117" t="s">
        <v>98</v>
      </c>
      <c r="M124" s="117"/>
    </row>
    <row r="125" spans="1:13" ht="12.75">
      <c r="A125" s="4"/>
      <c r="B125" s="67" t="s">
        <v>99</v>
      </c>
      <c r="C125" s="68"/>
      <c r="D125" s="68"/>
      <c r="E125" s="68"/>
      <c r="F125" s="68"/>
      <c r="G125" s="68"/>
      <c r="H125" s="7" t="s">
        <v>43</v>
      </c>
      <c r="I125" s="7"/>
      <c r="J125" s="108"/>
      <c r="K125" s="117"/>
      <c r="L125" s="117"/>
      <c r="M125" s="117"/>
    </row>
    <row r="126" spans="1:13" ht="12.75">
      <c r="A126" s="4"/>
      <c r="B126" s="57" t="s">
        <v>100</v>
      </c>
      <c r="C126" s="34"/>
      <c r="D126" s="35"/>
      <c r="E126" s="35"/>
      <c r="F126" s="35"/>
      <c r="G126" s="34" t="s">
        <v>41</v>
      </c>
      <c r="H126" s="22"/>
      <c r="I126" s="22"/>
      <c r="J126" s="99"/>
      <c r="K126" s="117"/>
      <c r="L126" s="117" t="s">
        <v>101</v>
      </c>
      <c r="M126" s="117"/>
    </row>
    <row r="127" spans="1:13" ht="12.75">
      <c r="A127" s="4"/>
      <c r="B127" s="57" t="s">
        <v>102</v>
      </c>
      <c r="C127" s="34"/>
      <c r="D127" s="35"/>
      <c r="E127" s="35"/>
      <c r="F127" s="35"/>
      <c r="G127" s="34" t="s">
        <v>41</v>
      </c>
      <c r="H127" s="22"/>
      <c r="I127" s="22"/>
      <c r="J127" s="99"/>
      <c r="K127" s="117"/>
      <c r="L127" s="117" t="s">
        <v>103</v>
      </c>
      <c r="M127" s="117"/>
    </row>
    <row r="128" spans="1:13" ht="12.75">
      <c r="A128" s="4"/>
      <c r="B128" s="57" t="s">
        <v>242</v>
      </c>
      <c r="C128" s="34"/>
      <c r="D128" s="35"/>
      <c r="E128" s="35"/>
      <c r="F128" s="35"/>
      <c r="G128" s="34" t="s">
        <v>41</v>
      </c>
      <c r="H128" s="22"/>
      <c r="I128" s="59">
        <f>HYPERLINK("NetworkAccessRecord!NA_PaymentDetails_TimeSpan","TimeSpan")</f>
        <v>0</v>
      </c>
      <c r="J128" s="99"/>
      <c r="K128" s="117"/>
      <c r="L128" s="117" t="s">
        <v>189</v>
      </c>
      <c r="M128" s="117"/>
    </row>
    <row r="129" spans="2:13" ht="14.25" customHeight="1">
      <c r="B129" s="10"/>
      <c r="C129" s="10"/>
      <c r="D129" s="10"/>
      <c r="E129" s="10"/>
      <c r="F129" s="10"/>
      <c r="G129" s="10"/>
      <c r="H129" s="10"/>
      <c r="I129" s="29"/>
      <c r="J129" s="29"/>
      <c r="K129" s="117"/>
      <c r="L129" s="117"/>
      <c r="M129" s="117"/>
    </row>
    <row r="130" spans="1:13" ht="12.75">
      <c r="A130" s="4"/>
      <c r="B130" s="30" t="s">
        <v>231</v>
      </c>
      <c r="C130" s="19" t="s">
        <v>28</v>
      </c>
      <c r="D130" s="19"/>
      <c r="E130" s="19"/>
      <c r="F130" s="19"/>
      <c r="G130" s="31" t="s">
        <v>29</v>
      </c>
      <c r="H130" s="31"/>
      <c r="I130" s="32"/>
      <c r="J130" s="13"/>
      <c r="K130" s="117"/>
      <c r="L130" s="117"/>
      <c r="M130" s="117"/>
    </row>
    <row r="131" spans="1:13" ht="12.75">
      <c r="A131" s="4"/>
      <c r="B131" s="33" t="s">
        <v>32</v>
      </c>
      <c r="C131" s="23"/>
      <c r="D131" s="23" t="s">
        <v>33</v>
      </c>
      <c r="E131" s="23" t="s">
        <v>34</v>
      </c>
      <c r="F131" s="23" t="s">
        <v>35</v>
      </c>
      <c r="G131" s="33" t="s">
        <v>36</v>
      </c>
      <c r="H131" s="33" t="s">
        <v>37</v>
      </c>
      <c r="I131" s="33" t="s">
        <v>38</v>
      </c>
      <c r="J131" s="99" t="s">
        <v>39</v>
      </c>
      <c r="K131" s="117"/>
      <c r="L131" s="117"/>
      <c r="M131" s="117"/>
    </row>
    <row r="132" spans="1:13" ht="13.5">
      <c r="A132" s="4"/>
      <c r="B132" s="57" t="s">
        <v>106</v>
      </c>
      <c r="C132" s="25"/>
      <c r="D132" s="25"/>
      <c r="E132" s="25"/>
      <c r="F132" s="25"/>
      <c r="G132" s="24" t="s">
        <v>41</v>
      </c>
      <c r="H132" s="24"/>
      <c r="I132" s="24" t="s">
        <v>721</v>
      </c>
      <c r="J132" s="101"/>
      <c r="K132" s="117"/>
      <c r="L132" s="117" t="s">
        <v>107</v>
      </c>
      <c r="M132" s="117"/>
    </row>
    <row r="133" spans="1:13" ht="13.5">
      <c r="A133" s="4"/>
      <c r="B133" s="57" t="s">
        <v>108</v>
      </c>
      <c r="C133" s="25"/>
      <c r="D133" s="25"/>
      <c r="E133" s="25"/>
      <c r="F133" s="25"/>
      <c r="G133" s="24" t="s">
        <v>41</v>
      </c>
      <c r="H133" s="24"/>
      <c r="I133" s="24" t="s">
        <v>722</v>
      </c>
      <c r="J133" s="101"/>
      <c r="K133" s="117"/>
      <c r="L133" s="117" t="s">
        <v>86</v>
      </c>
      <c r="M133" s="117"/>
    </row>
    <row r="134" spans="1:13" ht="13.5">
      <c r="A134" s="4"/>
      <c r="B134" s="67" t="s">
        <v>109</v>
      </c>
      <c r="C134" s="26"/>
      <c r="D134" s="26"/>
      <c r="E134" s="26"/>
      <c r="F134" s="26"/>
      <c r="G134" s="26"/>
      <c r="H134" s="26" t="s">
        <v>43</v>
      </c>
      <c r="I134" s="26"/>
      <c r="J134" s="102"/>
      <c r="K134" s="117"/>
      <c r="L134" s="117"/>
      <c r="M134" s="117"/>
    </row>
    <row r="135" spans="2:13" ht="14.25" customHeight="1">
      <c r="B135" s="10"/>
      <c r="C135" s="10"/>
      <c r="D135" s="10"/>
      <c r="E135" s="10"/>
      <c r="F135" s="10"/>
      <c r="G135" s="10"/>
      <c r="H135" s="10"/>
      <c r="I135" s="29"/>
      <c r="J135" s="29"/>
      <c r="K135" s="117"/>
      <c r="L135" s="117"/>
      <c r="M135" s="117"/>
    </row>
    <row r="136" spans="1:13" ht="12.75">
      <c r="A136" s="4"/>
      <c r="B136" s="30" t="s">
        <v>803</v>
      </c>
      <c r="C136" s="19" t="s">
        <v>28</v>
      </c>
      <c r="D136" s="19"/>
      <c r="E136" s="19"/>
      <c r="F136" s="19"/>
      <c r="G136" s="31" t="s">
        <v>29</v>
      </c>
      <c r="H136" s="31"/>
      <c r="I136" s="32"/>
      <c r="J136" s="13"/>
      <c r="K136" s="117"/>
      <c r="L136" s="117"/>
      <c r="M136" s="117"/>
    </row>
    <row r="137" spans="1:13" ht="12.75">
      <c r="A137" s="4"/>
      <c r="B137" s="33" t="s">
        <v>32</v>
      </c>
      <c r="C137" s="23"/>
      <c r="D137" s="23" t="s">
        <v>33</v>
      </c>
      <c r="E137" s="23" t="s">
        <v>34</v>
      </c>
      <c r="F137" s="23" t="s">
        <v>35</v>
      </c>
      <c r="G137" s="33" t="s">
        <v>36</v>
      </c>
      <c r="H137" s="33" t="s">
        <v>37</v>
      </c>
      <c r="I137" s="33" t="s">
        <v>38</v>
      </c>
      <c r="J137" s="99" t="s">
        <v>39</v>
      </c>
      <c r="K137" s="117"/>
      <c r="L137" s="117"/>
      <c r="M137" s="117"/>
    </row>
    <row r="138" spans="1:13" ht="12.75">
      <c r="A138" s="4"/>
      <c r="B138" s="112" t="s">
        <v>804</v>
      </c>
      <c r="C138" s="35"/>
      <c r="D138" s="35"/>
      <c r="E138" s="35"/>
      <c r="F138" s="35"/>
      <c r="G138" s="34" t="s">
        <v>41</v>
      </c>
      <c r="H138" s="22"/>
      <c r="I138" s="59">
        <f>HYPERLINK("NetworkAccessRecord!NA_NASubscription_IPASOROM_IPAddress","IPAddress")</f>
        <v>0</v>
      </c>
      <c r="J138" s="99"/>
      <c r="K138" s="117"/>
      <c r="L138" s="117" t="s">
        <v>937</v>
      </c>
      <c r="M138" s="117"/>
    </row>
    <row r="139" spans="1:13" ht="12.75">
      <c r="A139" s="4"/>
      <c r="B139" s="112" t="s">
        <v>805</v>
      </c>
      <c r="C139" s="35"/>
      <c r="D139" s="35"/>
      <c r="E139" s="35"/>
      <c r="F139" s="35"/>
      <c r="G139" s="34" t="s">
        <v>41</v>
      </c>
      <c r="H139" s="22"/>
      <c r="I139" s="59">
        <f>HYPERLINK("NetworkAccessRecord!NA_NASubscription_IPASOROM_IPRange","IPRange")</f>
        <v>0</v>
      </c>
      <c r="J139" s="99"/>
      <c r="K139" s="117"/>
      <c r="L139" s="117"/>
      <c r="M139" s="117"/>
    </row>
    <row r="140" spans="1:13" ht="12.75">
      <c r="A140" s="4"/>
      <c r="B140" s="112" t="s">
        <v>807</v>
      </c>
      <c r="C140" s="35"/>
      <c r="D140" s="35"/>
      <c r="E140" s="35"/>
      <c r="F140" s="35"/>
      <c r="G140" s="34" t="s">
        <v>41</v>
      </c>
      <c r="H140" s="22"/>
      <c r="I140" s="59">
        <f>HYPERLINK("NetworkAccessRecord!NA_NASubscription_IPASOROM_IPMask","IPMask")</f>
        <v>0</v>
      </c>
      <c r="J140" s="99"/>
      <c r="K140" s="117"/>
      <c r="L140" s="117"/>
      <c r="M140" s="117"/>
    </row>
    <row r="141" spans="2:13" ht="14.25" customHeight="1">
      <c r="B141" s="10"/>
      <c r="C141" s="10"/>
      <c r="D141" s="10"/>
      <c r="E141" s="10"/>
      <c r="F141" s="10"/>
      <c r="G141" s="10"/>
      <c r="H141" s="10"/>
      <c r="I141" s="29"/>
      <c r="J141" s="29"/>
      <c r="K141" s="117"/>
      <c r="L141" s="117"/>
      <c r="M141" s="117"/>
    </row>
    <row r="142" spans="1:13" ht="12.75">
      <c r="A142" s="4"/>
      <c r="B142" s="30" t="s">
        <v>809</v>
      </c>
      <c r="C142" s="19" t="s">
        <v>28</v>
      </c>
      <c r="D142" s="19"/>
      <c r="E142" s="19"/>
      <c r="F142" s="19"/>
      <c r="G142" s="31" t="s">
        <v>29</v>
      </c>
      <c r="H142" s="31"/>
      <c r="I142" s="32"/>
      <c r="J142" s="13"/>
      <c r="K142" s="117"/>
      <c r="L142" s="117"/>
      <c r="M142" s="117"/>
    </row>
    <row r="143" spans="1:13" ht="12.75">
      <c r="A143" s="4"/>
      <c r="B143" s="33" t="s">
        <v>32</v>
      </c>
      <c r="C143" s="23"/>
      <c r="D143" s="23" t="s">
        <v>33</v>
      </c>
      <c r="E143" s="23" t="s">
        <v>34</v>
      </c>
      <c r="F143" s="23" t="s">
        <v>35</v>
      </c>
      <c r="G143" s="33" t="s">
        <v>36</v>
      </c>
      <c r="H143" s="33" t="s">
        <v>37</v>
      </c>
      <c r="I143" s="33" t="s">
        <v>38</v>
      </c>
      <c r="J143" s="99" t="s">
        <v>39</v>
      </c>
      <c r="K143" s="117"/>
      <c r="L143" s="117"/>
      <c r="M143" s="117"/>
    </row>
    <row r="144" spans="1:13" ht="12.75">
      <c r="A144" s="4"/>
      <c r="B144" s="57" t="s">
        <v>621</v>
      </c>
      <c r="C144" s="35"/>
      <c r="D144" s="35"/>
      <c r="E144" s="35"/>
      <c r="F144" s="35"/>
      <c r="G144" s="34" t="s">
        <v>41</v>
      </c>
      <c r="H144" s="22"/>
      <c r="I144" s="22" t="s">
        <v>622</v>
      </c>
      <c r="J144" s="99"/>
      <c r="K144" s="117"/>
      <c r="L144" s="117" t="s">
        <v>938</v>
      </c>
      <c r="M144" s="117"/>
    </row>
    <row r="145" spans="1:13" ht="12.75">
      <c r="A145" s="4"/>
      <c r="B145" s="57" t="s">
        <v>624</v>
      </c>
      <c r="C145" s="35"/>
      <c r="D145" s="35"/>
      <c r="E145" s="35"/>
      <c r="F145" s="35"/>
      <c r="G145" s="34" t="s">
        <v>41</v>
      </c>
      <c r="H145" s="22"/>
      <c r="I145" s="22" t="s">
        <v>625</v>
      </c>
      <c r="J145" s="99"/>
      <c r="K145" s="117"/>
      <c r="L145" s="117" t="s">
        <v>86</v>
      </c>
      <c r="M145" s="117"/>
    </row>
    <row r="146" spans="1:13" ht="12.75">
      <c r="A146" s="4"/>
      <c r="B146" s="57" t="s">
        <v>626</v>
      </c>
      <c r="C146" s="35"/>
      <c r="D146" s="35"/>
      <c r="E146" s="35"/>
      <c r="F146" s="35"/>
      <c r="G146" s="34" t="s">
        <v>41</v>
      </c>
      <c r="H146" s="22"/>
      <c r="I146" s="22" t="s">
        <v>627</v>
      </c>
      <c r="J146" s="99"/>
      <c r="K146" s="117"/>
      <c r="L146" s="117" t="s">
        <v>939</v>
      </c>
      <c r="M146" s="117"/>
    </row>
    <row r="147" spans="2:13" ht="14.25" customHeight="1">
      <c r="B147" s="10"/>
      <c r="C147" s="10"/>
      <c r="D147" s="10"/>
      <c r="E147" s="10"/>
      <c r="F147" s="10"/>
      <c r="G147" s="10"/>
      <c r="H147" s="10"/>
      <c r="I147" s="29"/>
      <c r="J147" s="29"/>
      <c r="K147" s="117"/>
      <c r="L147" s="117"/>
      <c r="M147" s="117"/>
    </row>
    <row r="148" spans="1:13" ht="12.75">
      <c r="A148" s="4"/>
      <c r="B148" s="30" t="s">
        <v>812</v>
      </c>
      <c r="C148" s="19" t="s">
        <v>28</v>
      </c>
      <c r="D148" s="19"/>
      <c r="E148" s="19"/>
      <c r="F148" s="19"/>
      <c r="G148" s="31" t="s">
        <v>29</v>
      </c>
      <c r="H148" s="31"/>
      <c r="I148" s="32"/>
      <c r="J148" s="13"/>
      <c r="K148" s="117"/>
      <c r="L148" s="117"/>
      <c r="M148" s="117"/>
    </row>
    <row r="149" spans="1:13" ht="12.75">
      <c r="A149" s="4"/>
      <c r="B149" s="33" t="s">
        <v>32</v>
      </c>
      <c r="C149" s="23"/>
      <c r="D149" s="23" t="s">
        <v>33</v>
      </c>
      <c r="E149" s="23" t="s">
        <v>34</v>
      </c>
      <c r="F149" s="23" t="s">
        <v>35</v>
      </c>
      <c r="G149" s="33" t="s">
        <v>36</v>
      </c>
      <c r="H149" s="33" t="s">
        <v>37</v>
      </c>
      <c r="I149" s="33" t="s">
        <v>38</v>
      </c>
      <c r="J149" s="99" t="s">
        <v>39</v>
      </c>
      <c r="K149" s="117"/>
      <c r="L149" s="117"/>
      <c r="M149" s="117"/>
    </row>
    <row r="150" spans="1:13" ht="12.75">
      <c r="A150" s="4"/>
      <c r="B150" s="57" t="s">
        <v>813</v>
      </c>
      <c r="C150" s="35"/>
      <c r="D150" s="35"/>
      <c r="E150" s="35"/>
      <c r="F150" s="35"/>
      <c r="G150" s="34" t="s">
        <v>41</v>
      </c>
      <c r="H150" s="22"/>
      <c r="I150" s="59">
        <f>HYPERLINK("NetworkAccessRecord!NA_NASubscription_IPASOROM_Prefix_IPAddress","IPAddress")</f>
        <v>0</v>
      </c>
      <c r="J150" s="99"/>
      <c r="K150" s="117"/>
      <c r="L150" s="117" t="s">
        <v>86</v>
      </c>
      <c r="M150" s="117"/>
    </row>
    <row r="151" spans="1:13" ht="12.75">
      <c r="A151" s="4"/>
      <c r="B151" s="57" t="s">
        <v>814</v>
      </c>
      <c r="C151" s="35"/>
      <c r="D151" s="35"/>
      <c r="E151" s="35"/>
      <c r="F151" s="35"/>
      <c r="G151" s="34" t="s">
        <v>41</v>
      </c>
      <c r="H151" s="22"/>
      <c r="I151" s="22" t="s">
        <v>815</v>
      </c>
      <c r="J151" s="99"/>
      <c r="K151" s="117"/>
      <c r="L151" s="117" t="s">
        <v>86</v>
      </c>
      <c r="M151" s="117"/>
    </row>
    <row r="152" spans="2:13" ht="14.25" customHeight="1">
      <c r="B152" s="10"/>
      <c r="C152" s="10"/>
      <c r="D152" s="10"/>
      <c r="E152" s="10"/>
      <c r="F152" s="10"/>
      <c r="G152" s="10"/>
      <c r="H152" s="10"/>
      <c r="I152" s="29"/>
      <c r="J152" s="29"/>
      <c r="K152" s="117"/>
      <c r="L152" s="117"/>
      <c r="M152" s="117"/>
    </row>
    <row r="153" spans="1:13" ht="12.75">
      <c r="A153" s="4"/>
      <c r="B153" s="30" t="s">
        <v>816</v>
      </c>
      <c r="C153" s="19" t="s">
        <v>28</v>
      </c>
      <c r="D153" s="19"/>
      <c r="E153" s="19"/>
      <c r="F153" s="19"/>
      <c r="G153" s="31" t="s">
        <v>29</v>
      </c>
      <c r="H153" s="31"/>
      <c r="I153" s="32"/>
      <c r="J153" s="13"/>
      <c r="K153" s="117"/>
      <c r="L153" s="117"/>
      <c r="M153" s="117"/>
    </row>
    <row r="154" spans="1:13" ht="12.75">
      <c r="A154" s="4"/>
      <c r="B154" s="33" t="s">
        <v>32</v>
      </c>
      <c r="C154" s="23"/>
      <c r="D154" s="23" t="s">
        <v>33</v>
      </c>
      <c r="E154" s="23" t="s">
        <v>34</v>
      </c>
      <c r="F154" s="23" t="s">
        <v>35</v>
      </c>
      <c r="G154" s="33" t="s">
        <v>36</v>
      </c>
      <c r="H154" s="33" t="s">
        <v>37</v>
      </c>
      <c r="I154" s="33" t="s">
        <v>38</v>
      </c>
      <c r="J154" s="99" t="s">
        <v>39</v>
      </c>
      <c r="K154" s="117"/>
      <c r="L154" s="117"/>
      <c r="M154" s="117"/>
    </row>
    <row r="155" spans="1:13" ht="12.75">
      <c r="A155" s="4"/>
      <c r="B155" s="57" t="s">
        <v>621</v>
      </c>
      <c r="C155" s="35"/>
      <c r="D155" s="35"/>
      <c r="E155" s="35"/>
      <c r="F155" s="35"/>
      <c r="G155" s="34" t="s">
        <v>41</v>
      </c>
      <c r="H155" s="22"/>
      <c r="I155" s="22" t="s">
        <v>622</v>
      </c>
      <c r="J155" s="99"/>
      <c r="K155" s="117"/>
      <c r="L155" s="117" t="s">
        <v>86</v>
      </c>
      <c r="M155" s="117"/>
    </row>
    <row r="156" spans="1:13" ht="12.75">
      <c r="A156" s="4"/>
      <c r="B156" s="57" t="s">
        <v>624</v>
      </c>
      <c r="C156" s="35"/>
      <c r="D156" s="35"/>
      <c r="E156" s="35"/>
      <c r="F156" s="35"/>
      <c r="G156" s="34" t="s">
        <v>41</v>
      </c>
      <c r="H156" s="22"/>
      <c r="I156" s="22" t="s">
        <v>625</v>
      </c>
      <c r="J156" s="99"/>
      <c r="K156" s="117"/>
      <c r="L156" s="117" t="s">
        <v>86</v>
      </c>
      <c r="M156" s="117"/>
    </row>
    <row r="157" spans="1:13" ht="12.75">
      <c r="A157" s="4"/>
      <c r="B157" s="57" t="s">
        <v>626</v>
      </c>
      <c r="C157" s="35"/>
      <c r="D157" s="35"/>
      <c r="E157" s="35"/>
      <c r="F157" s="35"/>
      <c r="G157" s="34" t="s">
        <v>41</v>
      </c>
      <c r="H157" s="22"/>
      <c r="I157" s="22" t="s">
        <v>627</v>
      </c>
      <c r="J157" s="99"/>
      <c r="K157" s="117"/>
      <c r="L157" s="117" t="s">
        <v>86</v>
      </c>
      <c r="M157" s="117"/>
    </row>
    <row r="158" spans="2:13" ht="14.25" customHeight="1">
      <c r="B158" s="10"/>
      <c r="C158" s="10"/>
      <c r="D158" s="10"/>
      <c r="E158" s="10"/>
      <c r="F158" s="10"/>
      <c r="G158" s="10"/>
      <c r="H158" s="10"/>
      <c r="I158" s="29"/>
      <c r="J158" s="29"/>
      <c r="K158" s="117"/>
      <c r="L158" s="117"/>
      <c r="M158" s="117"/>
    </row>
    <row r="159" spans="1:13" ht="12.75">
      <c r="A159" s="4"/>
      <c r="B159" s="30" t="s">
        <v>818</v>
      </c>
      <c r="C159" s="19" t="s">
        <v>28</v>
      </c>
      <c r="D159" s="19"/>
      <c r="E159" s="19"/>
      <c r="F159" s="19"/>
      <c r="G159" s="31" t="s">
        <v>29</v>
      </c>
      <c r="H159" s="31"/>
      <c r="I159" s="32"/>
      <c r="J159" s="13"/>
      <c r="K159" s="117"/>
      <c r="L159" s="117"/>
      <c r="M159" s="117"/>
    </row>
    <row r="160" spans="1:13" ht="12.75">
      <c r="A160" s="4"/>
      <c r="B160" s="33" t="s">
        <v>32</v>
      </c>
      <c r="C160" s="23"/>
      <c r="D160" s="23" t="s">
        <v>33</v>
      </c>
      <c r="E160" s="23" t="s">
        <v>34</v>
      </c>
      <c r="F160" s="23" t="s">
        <v>35</v>
      </c>
      <c r="G160" s="33" t="s">
        <v>36</v>
      </c>
      <c r="H160" s="33" t="s">
        <v>37</v>
      </c>
      <c r="I160" s="33" t="s">
        <v>38</v>
      </c>
      <c r="J160" s="99" t="s">
        <v>39</v>
      </c>
      <c r="K160" s="117"/>
      <c r="L160" s="117"/>
      <c r="M160" s="117"/>
    </row>
    <row r="161" spans="1:13" ht="12.75">
      <c r="A161" s="4"/>
      <c r="B161" s="57" t="s">
        <v>819</v>
      </c>
      <c r="C161" s="35"/>
      <c r="D161" s="35"/>
      <c r="E161" s="35"/>
      <c r="F161" s="35"/>
      <c r="G161" s="34" t="s">
        <v>41</v>
      </c>
      <c r="H161" s="22"/>
      <c r="I161" s="59">
        <f>HYPERLINK("NetworkAccessRecord!NA_NASubscription_IPASOROM_base_IPAddress","IPAddress")</f>
        <v>0</v>
      </c>
      <c r="J161" s="99"/>
      <c r="K161" s="117"/>
      <c r="L161" s="117" t="s">
        <v>86</v>
      </c>
      <c r="M161" s="117"/>
    </row>
    <row r="162" spans="1:13" ht="12.75">
      <c r="A162" s="4"/>
      <c r="B162" s="57" t="s">
        <v>820</v>
      </c>
      <c r="C162" s="35"/>
      <c r="D162" s="35"/>
      <c r="E162" s="35"/>
      <c r="F162" s="35"/>
      <c r="G162" s="34" t="s">
        <v>41</v>
      </c>
      <c r="H162" s="22"/>
      <c r="I162" s="59">
        <f>HYPERLINK("NetworkAccessRecord!NA_NASubscription_IPASOROM_mask_IPAddress","IPAddress")</f>
        <v>0</v>
      </c>
      <c r="J162" s="99"/>
      <c r="K162" s="117"/>
      <c r="L162" s="117" t="s">
        <v>86</v>
      </c>
      <c r="M162" s="117"/>
    </row>
    <row r="163" spans="2:13" ht="14.25" customHeight="1">
      <c r="B163" s="10"/>
      <c r="C163" s="10"/>
      <c r="D163" s="10"/>
      <c r="E163" s="10"/>
      <c r="F163" s="10"/>
      <c r="G163" s="10"/>
      <c r="H163" s="10"/>
      <c r="I163" s="29"/>
      <c r="J163" s="29"/>
      <c r="K163" s="117"/>
      <c r="L163" s="117"/>
      <c r="M163" s="117"/>
    </row>
    <row r="164" spans="1:13" ht="12.75">
      <c r="A164" s="4"/>
      <c r="B164" s="30" t="s">
        <v>821</v>
      </c>
      <c r="C164" s="19" t="s">
        <v>28</v>
      </c>
      <c r="D164" s="19"/>
      <c r="E164" s="19"/>
      <c r="F164" s="19"/>
      <c r="G164" s="31" t="s">
        <v>29</v>
      </c>
      <c r="H164" s="31"/>
      <c r="I164" s="32"/>
      <c r="J164" s="13"/>
      <c r="K164" s="117"/>
      <c r="L164" s="117"/>
      <c r="M164" s="117"/>
    </row>
    <row r="165" spans="1:13" ht="12.75">
      <c r="A165" s="4"/>
      <c r="B165" s="33" t="s">
        <v>32</v>
      </c>
      <c r="C165" s="23"/>
      <c r="D165" s="23" t="s">
        <v>33</v>
      </c>
      <c r="E165" s="23" t="s">
        <v>34</v>
      </c>
      <c r="F165" s="23" t="s">
        <v>35</v>
      </c>
      <c r="G165" s="33" t="s">
        <v>36</v>
      </c>
      <c r="H165" s="33" t="s">
        <v>37</v>
      </c>
      <c r="I165" s="33" t="s">
        <v>38</v>
      </c>
      <c r="J165" s="99" t="s">
        <v>39</v>
      </c>
      <c r="K165" s="117"/>
      <c r="L165" s="117"/>
      <c r="M165" s="117"/>
    </row>
    <row r="166" spans="1:13" ht="12.75">
      <c r="A166" s="4"/>
      <c r="B166" s="57" t="s">
        <v>621</v>
      </c>
      <c r="C166" s="35"/>
      <c r="D166" s="35"/>
      <c r="E166" s="35"/>
      <c r="F166" s="35"/>
      <c r="G166" s="34" t="s">
        <v>41</v>
      </c>
      <c r="H166" s="22"/>
      <c r="I166" s="22" t="s">
        <v>622</v>
      </c>
      <c r="J166" s="99"/>
      <c r="K166" s="117"/>
      <c r="L166" s="117" t="s">
        <v>86</v>
      </c>
      <c r="M166" s="117"/>
    </row>
    <row r="167" spans="1:13" ht="12.75">
      <c r="A167" s="4"/>
      <c r="B167" s="57" t="s">
        <v>624</v>
      </c>
      <c r="C167" s="35"/>
      <c r="D167" s="35"/>
      <c r="E167" s="35"/>
      <c r="F167" s="35"/>
      <c r="G167" s="34" t="s">
        <v>41</v>
      </c>
      <c r="H167" s="22"/>
      <c r="I167" s="22" t="s">
        <v>625</v>
      </c>
      <c r="J167" s="99"/>
      <c r="K167" s="117"/>
      <c r="L167" s="117" t="s">
        <v>86</v>
      </c>
      <c r="M167" s="117"/>
    </row>
    <row r="168" spans="1:13" ht="12.75">
      <c r="A168" s="4"/>
      <c r="B168" s="57" t="s">
        <v>626</v>
      </c>
      <c r="C168" s="35"/>
      <c r="D168" s="35"/>
      <c r="E168" s="35"/>
      <c r="F168" s="35"/>
      <c r="G168" s="34" t="s">
        <v>41</v>
      </c>
      <c r="H168" s="22"/>
      <c r="I168" s="22" t="s">
        <v>627</v>
      </c>
      <c r="J168" s="99"/>
      <c r="K168" s="117"/>
      <c r="L168" s="117" t="s">
        <v>86</v>
      </c>
      <c r="M168" s="117"/>
    </row>
    <row r="169" spans="2:13" ht="14.25" customHeight="1">
      <c r="B169" s="10"/>
      <c r="C169" s="10"/>
      <c r="D169" s="10"/>
      <c r="E169" s="10"/>
      <c r="F169" s="10"/>
      <c r="G169" s="10"/>
      <c r="H169" s="10"/>
      <c r="I169" s="29"/>
      <c r="J169" s="29"/>
      <c r="K169" s="117"/>
      <c r="L169" s="117"/>
      <c r="M169" s="117"/>
    </row>
    <row r="170" spans="1:13" ht="12.75">
      <c r="A170" s="4"/>
      <c r="B170" s="30" t="s">
        <v>823</v>
      </c>
      <c r="C170" s="19" t="s">
        <v>28</v>
      </c>
      <c r="D170" s="19"/>
      <c r="E170" s="19"/>
      <c r="F170" s="19"/>
      <c r="G170" s="31" t="s">
        <v>29</v>
      </c>
      <c r="H170" s="31"/>
      <c r="I170" s="32"/>
      <c r="J170" s="13"/>
      <c r="K170" s="117"/>
      <c r="L170" s="117"/>
      <c r="M170" s="117"/>
    </row>
    <row r="171" spans="1:13" ht="12.75">
      <c r="A171" s="4"/>
      <c r="B171" s="33" t="s">
        <v>32</v>
      </c>
      <c r="C171" s="23"/>
      <c r="D171" s="23" t="s">
        <v>33</v>
      </c>
      <c r="E171" s="23" t="s">
        <v>34</v>
      </c>
      <c r="F171" s="23" t="s">
        <v>35</v>
      </c>
      <c r="G171" s="33" t="s">
        <v>36</v>
      </c>
      <c r="H171" s="33" t="s">
        <v>37</v>
      </c>
      <c r="I171" s="33" t="s">
        <v>38</v>
      </c>
      <c r="J171" s="99" t="s">
        <v>39</v>
      </c>
      <c r="K171" s="117"/>
      <c r="L171" s="117"/>
      <c r="M171" s="117"/>
    </row>
    <row r="172" spans="1:13" ht="12.75">
      <c r="A172" s="4"/>
      <c r="B172" s="57" t="s">
        <v>621</v>
      </c>
      <c r="C172" s="35"/>
      <c r="D172" s="35"/>
      <c r="E172" s="35"/>
      <c r="F172" s="35"/>
      <c r="G172" s="34" t="s">
        <v>41</v>
      </c>
      <c r="H172" s="22"/>
      <c r="I172" s="22" t="s">
        <v>622</v>
      </c>
      <c r="J172" s="99"/>
      <c r="K172" s="117"/>
      <c r="L172" s="117" t="s">
        <v>86</v>
      </c>
      <c r="M172" s="117"/>
    </row>
    <row r="173" spans="1:13" ht="12.75">
      <c r="A173" s="4"/>
      <c r="B173" s="57" t="s">
        <v>624</v>
      </c>
      <c r="C173" s="35"/>
      <c r="D173" s="35"/>
      <c r="E173" s="35"/>
      <c r="F173" s="35"/>
      <c r="G173" s="34" t="s">
        <v>41</v>
      </c>
      <c r="H173" s="22"/>
      <c r="I173" s="22" t="s">
        <v>625</v>
      </c>
      <c r="J173" s="99"/>
      <c r="K173" s="117"/>
      <c r="L173" s="117" t="s">
        <v>86</v>
      </c>
      <c r="M173" s="117"/>
    </row>
    <row r="174" spans="1:13" ht="12.75">
      <c r="A174" s="4"/>
      <c r="B174" s="57" t="s">
        <v>626</v>
      </c>
      <c r="C174" s="35"/>
      <c r="D174" s="35"/>
      <c r="E174" s="35"/>
      <c r="F174" s="35"/>
      <c r="G174" s="34" t="s">
        <v>41</v>
      </c>
      <c r="H174" s="22"/>
      <c r="I174" s="22" t="s">
        <v>627</v>
      </c>
      <c r="J174" s="99"/>
      <c r="K174" s="117"/>
      <c r="L174" s="117" t="s">
        <v>86</v>
      </c>
      <c r="M174" s="117"/>
    </row>
    <row r="175" spans="2:13" ht="14.25" customHeight="1">
      <c r="B175" s="29"/>
      <c r="C175" s="29"/>
      <c r="D175" s="29"/>
      <c r="E175" s="29"/>
      <c r="F175" s="29"/>
      <c r="G175" s="29"/>
      <c r="H175" s="29"/>
      <c r="I175" s="29"/>
      <c r="J175" s="29"/>
      <c r="K175" s="117"/>
      <c r="L175" s="117"/>
      <c r="M175" s="117"/>
    </row>
    <row r="176" spans="1:10" ht="12.75">
      <c r="A176" s="50" t="s">
        <v>940</v>
      </c>
      <c r="B176" s="50"/>
      <c r="C176" s="51"/>
      <c r="D176" s="51"/>
      <c r="E176" s="51"/>
      <c r="F176" s="51"/>
      <c r="G176" s="51"/>
      <c r="H176" s="51"/>
      <c r="I176" s="51"/>
      <c r="J176" s="51"/>
    </row>
    <row r="177" spans="2:8" ht="14.25" customHeight="1">
      <c r="B177" s="3"/>
      <c r="C177" s="3"/>
      <c r="D177" s="3"/>
      <c r="E177" s="3"/>
      <c r="F177" s="3"/>
      <c r="G177" s="3"/>
      <c r="H177" s="3"/>
    </row>
    <row r="178" spans="1:13" ht="12.75">
      <c r="A178" s="4"/>
      <c r="B178" s="30" t="s">
        <v>941</v>
      </c>
      <c r="C178" s="19" t="s">
        <v>28</v>
      </c>
      <c r="D178" s="19"/>
      <c r="E178" s="19"/>
      <c r="F178" s="19"/>
      <c r="G178" s="31" t="s">
        <v>29</v>
      </c>
      <c r="H178" s="31"/>
      <c r="I178" s="32"/>
      <c r="J178" s="13"/>
      <c r="K178" s="117"/>
      <c r="L178" s="117"/>
      <c r="M178" s="117"/>
    </row>
    <row r="179" spans="1:13" ht="12.75">
      <c r="A179" s="4"/>
      <c r="B179" s="33" t="s">
        <v>32</v>
      </c>
      <c r="C179" s="23"/>
      <c r="D179" s="23" t="s">
        <v>33</v>
      </c>
      <c r="E179" s="23" t="s">
        <v>34</v>
      </c>
      <c r="F179" s="23" t="s">
        <v>35</v>
      </c>
      <c r="G179" s="33" t="s">
        <v>36</v>
      </c>
      <c r="H179" s="33" t="s">
        <v>37</v>
      </c>
      <c r="I179" s="33" t="s">
        <v>38</v>
      </c>
      <c r="J179" s="99" t="s">
        <v>39</v>
      </c>
      <c r="K179" s="117"/>
      <c r="L179" s="117"/>
      <c r="M179" s="117"/>
    </row>
    <row r="180" spans="1:13" ht="42.75" customHeight="1">
      <c r="A180" s="4"/>
      <c r="B180" s="123" t="s">
        <v>942</v>
      </c>
      <c r="C180" s="23"/>
      <c r="D180" s="23"/>
      <c r="E180" s="23"/>
      <c r="F180" s="23"/>
      <c r="G180" s="22" t="s">
        <v>41</v>
      </c>
      <c r="H180" s="22"/>
      <c r="I180" s="89" t="s">
        <v>943</v>
      </c>
      <c r="J180" s="99"/>
      <c r="K180" s="117"/>
      <c r="L180" s="117" t="s">
        <v>944</v>
      </c>
      <c r="M180" s="117"/>
    </row>
    <row r="181" spans="1:13" ht="28.5" customHeight="1">
      <c r="A181" s="4"/>
      <c r="B181" s="57" t="s">
        <v>945</v>
      </c>
      <c r="C181" s="25"/>
      <c r="D181" s="25"/>
      <c r="E181" s="25"/>
      <c r="F181" s="25"/>
      <c r="G181" s="24" t="s">
        <v>41</v>
      </c>
      <c r="H181" s="24"/>
      <c r="I181" s="24" t="s">
        <v>911</v>
      </c>
      <c r="J181" s="101"/>
      <c r="K181" s="117"/>
      <c r="L181" s="117" t="s">
        <v>912</v>
      </c>
      <c r="M181" s="117"/>
    </row>
    <row r="182" spans="1:13" ht="13.5">
      <c r="A182" s="4"/>
      <c r="B182" s="57" t="s">
        <v>946</v>
      </c>
      <c r="C182" s="25"/>
      <c r="D182" s="25"/>
      <c r="E182" s="25"/>
      <c r="F182" s="25"/>
      <c r="G182" s="24" t="s">
        <v>41</v>
      </c>
      <c r="H182" s="24"/>
      <c r="I182" s="27">
        <f>HYPERLINK("NetworkAccessRecord!NA_Usage_NwAccessType","NwAccessType")</f>
        <v>0</v>
      </c>
      <c r="J182" s="101"/>
      <c r="K182" s="117"/>
      <c r="L182" s="117" t="s">
        <v>947</v>
      </c>
      <c r="M182" s="117"/>
    </row>
    <row r="183" spans="1:13" ht="13.5">
      <c r="A183" s="4"/>
      <c r="B183" s="57" t="s">
        <v>948</v>
      </c>
      <c r="C183" s="25"/>
      <c r="D183" s="25"/>
      <c r="E183" s="25"/>
      <c r="F183" s="25"/>
      <c r="G183" s="24" t="s">
        <v>41</v>
      </c>
      <c r="H183" s="24"/>
      <c r="I183" s="18"/>
      <c r="J183" s="101"/>
      <c r="K183" s="117"/>
      <c r="L183" s="117"/>
      <c r="M183" s="117"/>
    </row>
    <row r="184" spans="1:13" ht="13.5">
      <c r="A184" s="4"/>
      <c r="B184" s="122" t="s">
        <v>536</v>
      </c>
      <c r="C184" s="25"/>
      <c r="D184" s="25"/>
      <c r="E184" s="25"/>
      <c r="F184" s="25"/>
      <c r="G184" s="24" t="s">
        <v>41</v>
      </c>
      <c r="H184" s="24"/>
      <c r="I184" s="18"/>
      <c r="J184" s="101"/>
      <c r="K184" s="117"/>
      <c r="L184" s="117"/>
      <c r="M184" s="117"/>
    </row>
    <row r="185" spans="1:13" ht="13.5">
      <c r="A185" s="4"/>
      <c r="B185" s="122" t="s">
        <v>612</v>
      </c>
      <c r="C185" s="25"/>
      <c r="D185" s="25"/>
      <c r="E185" s="25"/>
      <c r="F185" s="25"/>
      <c r="G185" s="24" t="s">
        <v>41</v>
      </c>
      <c r="H185" s="24"/>
      <c r="I185" s="18" t="s">
        <v>949</v>
      </c>
      <c r="J185" s="101"/>
      <c r="K185" s="117"/>
      <c r="L185" s="117" t="s">
        <v>950</v>
      </c>
      <c r="M185" s="117"/>
    </row>
    <row r="186" spans="1:13" ht="27" customHeight="1">
      <c r="A186" s="4"/>
      <c r="B186" s="122" t="s">
        <v>614</v>
      </c>
      <c r="C186" s="25"/>
      <c r="D186" s="25"/>
      <c r="E186" s="25"/>
      <c r="F186" s="25"/>
      <c r="G186" s="24" t="s">
        <v>41</v>
      </c>
      <c r="H186" s="24"/>
      <c r="I186" s="18" t="s">
        <v>951</v>
      </c>
      <c r="J186" s="101"/>
      <c r="K186" s="117"/>
      <c r="L186" s="117"/>
      <c r="M186" s="117"/>
    </row>
    <row r="187" spans="1:13" ht="27" customHeight="1">
      <c r="A187" s="4"/>
      <c r="B187" s="122" t="s">
        <v>952</v>
      </c>
      <c r="C187" s="25"/>
      <c r="D187" s="25"/>
      <c r="E187" s="25"/>
      <c r="F187" s="25"/>
      <c r="G187" s="24" t="s">
        <v>41</v>
      </c>
      <c r="H187" s="24"/>
      <c r="I187" s="18" t="s">
        <v>953</v>
      </c>
      <c r="J187" s="101"/>
      <c r="K187" s="117"/>
      <c r="L187" s="117"/>
      <c r="M187" s="117"/>
    </row>
    <row r="188" spans="1:13" ht="13.5">
      <c r="A188" s="4"/>
      <c r="B188" s="57" t="s">
        <v>954</v>
      </c>
      <c r="C188" s="25"/>
      <c r="D188" s="25"/>
      <c r="E188" s="25"/>
      <c r="F188" s="25"/>
      <c r="G188" s="24" t="s">
        <v>41</v>
      </c>
      <c r="H188" s="24"/>
      <c r="I188" s="27">
        <f>HYPERLINK("NetworkAccessRecord!NA_Usage_Interval_TimeSpan","TimeSpan")</f>
        <v>0</v>
      </c>
      <c r="J188" s="101"/>
      <c r="K188" s="117"/>
      <c r="L188" s="117" t="s">
        <v>189</v>
      </c>
      <c r="M188" s="117"/>
    </row>
    <row r="189" spans="1:13" ht="297" customHeight="1">
      <c r="A189" s="4"/>
      <c r="B189" s="57" t="s">
        <v>955</v>
      </c>
      <c r="C189" s="25"/>
      <c r="D189" s="25"/>
      <c r="E189" s="25"/>
      <c r="F189" s="25"/>
      <c r="G189" s="24" t="s">
        <v>41</v>
      </c>
      <c r="H189" s="24"/>
      <c r="I189" s="18" t="s">
        <v>956</v>
      </c>
      <c r="J189" s="115">
        <f>HYPERLINK("NetworkAccessRecord!NA_Usage_naDeviceID","naDeviceID")</f>
        <v>0</v>
      </c>
      <c r="K189" s="117"/>
      <c r="L189" s="117" t="s">
        <v>957</v>
      </c>
      <c r="M189" s="117"/>
    </row>
    <row r="190" spans="1:13" ht="13.5">
      <c r="A190" s="4"/>
      <c r="B190" s="67" t="s">
        <v>958</v>
      </c>
      <c r="C190" s="26"/>
      <c r="D190" s="26"/>
      <c r="E190" s="26"/>
      <c r="F190" s="26"/>
      <c r="G190" s="26"/>
      <c r="H190" s="26" t="s">
        <v>43</v>
      </c>
      <c r="I190" s="5"/>
      <c r="J190" s="102"/>
      <c r="K190" s="117"/>
      <c r="L190" s="117"/>
      <c r="M190" s="117"/>
    </row>
    <row r="191" spans="1:13" ht="13.5">
      <c r="A191" s="4"/>
      <c r="B191" s="57" t="s">
        <v>959</v>
      </c>
      <c r="C191" s="24"/>
      <c r="D191" s="25"/>
      <c r="E191" s="25"/>
      <c r="F191" s="25"/>
      <c r="G191" s="24" t="s">
        <v>41</v>
      </c>
      <c r="H191" s="24"/>
      <c r="I191" s="27">
        <f>HYPERLINK("NetworkAccessRecord!NA_Usage_NAAssignedAddress","NAAssignedAddress")</f>
        <v>0</v>
      </c>
      <c r="J191" s="101"/>
      <c r="K191" s="117"/>
      <c r="L191" s="117" t="s">
        <v>766</v>
      </c>
      <c r="M191" s="117"/>
    </row>
    <row r="192" spans="1:13" ht="13.5">
      <c r="A192" s="4"/>
      <c r="B192" s="57" t="s">
        <v>960</v>
      </c>
      <c r="C192" s="24"/>
      <c r="D192" s="25"/>
      <c r="E192" s="25"/>
      <c r="F192" s="25"/>
      <c r="G192" s="24" t="s">
        <v>41</v>
      </c>
      <c r="H192" s="24"/>
      <c r="I192" s="27">
        <f>HYPERLINK("NetworkAccessRecord!NA_Usage_Location","Location")</f>
        <v>0</v>
      </c>
      <c r="J192" s="101"/>
      <c r="K192" s="117"/>
      <c r="L192" s="117" t="s">
        <v>401</v>
      </c>
      <c r="M192" s="117"/>
    </row>
    <row r="193" spans="1:13" ht="13.5">
      <c r="A193" s="4"/>
      <c r="B193" s="57" t="s">
        <v>961</v>
      </c>
      <c r="C193" s="24"/>
      <c r="D193" s="25"/>
      <c r="E193" s="25"/>
      <c r="F193" s="25"/>
      <c r="G193" s="24" t="s">
        <v>41</v>
      </c>
      <c r="H193" s="24"/>
      <c r="I193" s="27">
        <f>HYPERLINK("NetworkAccessRecord!NA_Usage_DialUpInformation","DialUpInformation")</f>
        <v>0</v>
      </c>
      <c r="J193" s="101"/>
      <c r="K193" s="117"/>
      <c r="L193" s="117" t="s">
        <v>962</v>
      </c>
      <c r="M193" s="117"/>
    </row>
    <row r="194" spans="1:13" ht="13.5">
      <c r="A194" s="4"/>
      <c r="B194" s="57" t="s">
        <v>963</v>
      </c>
      <c r="C194" s="24"/>
      <c r="D194" s="25"/>
      <c r="E194" s="25"/>
      <c r="F194" s="25"/>
      <c r="G194" s="24" t="s">
        <v>41</v>
      </c>
      <c r="H194" s="24"/>
      <c r="I194" s="27">
        <f>HYPERLINK("NetworkAccessRecord!NA_Usage_GprsInformation","GprsInformation")</f>
        <v>0</v>
      </c>
      <c r="J194" s="101"/>
      <c r="K194" s="117"/>
      <c r="L194" s="117" t="s">
        <v>964</v>
      </c>
      <c r="M194" s="117"/>
    </row>
    <row r="195" spans="1:13" ht="13.5">
      <c r="A195" s="4"/>
      <c r="B195" s="67" t="s">
        <v>965</v>
      </c>
      <c r="C195" s="26"/>
      <c r="D195" s="26"/>
      <c r="E195" s="26"/>
      <c r="F195" s="26"/>
      <c r="G195" s="26"/>
      <c r="H195" s="26" t="s">
        <v>43</v>
      </c>
      <c r="I195" s="5"/>
      <c r="J195" s="102"/>
      <c r="K195" s="117"/>
      <c r="L195" s="117"/>
      <c r="M195" s="117"/>
    </row>
    <row r="196" spans="1:13" ht="13.5">
      <c r="A196" s="4"/>
      <c r="B196" s="67" t="s">
        <v>966</v>
      </c>
      <c r="C196" s="26"/>
      <c r="D196" s="26"/>
      <c r="E196" s="26"/>
      <c r="F196" s="26"/>
      <c r="G196" s="26"/>
      <c r="H196" s="26" t="s">
        <v>43</v>
      </c>
      <c r="I196" s="5"/>
      <c r="J196" s="102"/>
      <c r="K196" s="117"/>
      <c r="L196" s="117"/>
      <c r="M196" s="117"/>
    </row>
    <row r="197" spans="1:13" ht="13.5">
      <c r="A197" s="4"/>
      <c r="B197" s="67" t="s">
        <v>967</v>
      </c>
      <c r="C197" s="26"/>
      <c r="D197" s="26"/>
      <c r="E197" s="26"/>
      <c r="F197" s="26"/>
      <c r="G197" s="26"/>
      <c r="H197" s="26" t="s">
        <v>43</v>
      </c>
      <c r="I197" s="5"/>
      <c r="J197" s="102"/>
      <c r="K197" s="117"/>
      <c r="L197" s="117"/>
      <c r="M197" s="117"/>
    </row>
    <row r="198" spans="1:13" ht="45" customHeight="1">
      <c r="A198" s="4"/>
      <c r="B198" s="57" t="s">
        <v>968</v>
      </c>
      <c r="C198" s="24"/>
      <c r="D198" s="25"/>
      <c r="E198" s="25"/>
      <c r="F198" s="25"/>
      <c r="G198" s="24" t="s">
        <v>41</v>
      </c>
      <c r="H198" s="24"/>
      <c r="I198" s="18" t="s">
        <v>969</v>
      </c>
      <c r="J198" s="115">
        <f>HYPERLINK("NetworkAccessRecord!NA_Usage_subscriberID","subscriberID")</f>
        <v>0</v>
      </c>
      <c r="K198" s="117"/>
      <c r="L198" s="117" t="s">
        <v>170</v>
      </c>
      <c r="M198" s="117"/>
    </row>
    <row r="199" spans="2:13" ht="12.75">
      <c r="B199" s="60"/>
      <c r="C199" s="54"/>
      <c r="D199" s="54"/>
      <c r="E199" s="54"/>
      <c r="F199" s="54"/>
      <c r="G199" s="54"/>
      <c r="H199" s="54"/>
      <c r="I199" s="124"/>
      <c r="J199" s="54"/>
      <c r="K199" s="117"/>
      <c r="L199" s="117"/>
      <c r="M199" s="117"/>
    </row>
    <row r="200" spans="1:14" ht="57" customHeight="1">
      <c r="A200" s="4"/>
      <c r="B200" s="36" t="s">
        <v>970</v>
      </c>
      <c r="C200" s="36"/>
      <c r="D200" s="36"/>
      <c r="E200" s="36"/>
      <c r="F200" s="36"/>
      <c r="G200" s="37" t="s">
        <v>52</v>
      </c>
      <c r="H200" s="37"/>
      <c r="I200" s="37"/>
      <c r="J200" s="37"/>
      <c r="K200" s="117"/>
      <c r="L200" s="117"/>
      <c r="M200" s="117"/>
      <c r="N200" s="117"/>
    </row>
    <row r="201" spans="1:14" ht="13.5" customHeight="1">
      <c r="A201" s="4"/>
      <c r="B201" s="38" t="s">
        <v>971</v>
      </c>
      <c r="C201" s="38"/>
      <c r="D201" s="38"/>
      <c r="E201" s="38"/>
      <c r="F201" s="38"/>
      <c r="G201" s="25"/>
      <c r="H201" s="25"/>
      <c r="I201" s="25"/>
      <c r="J201" s="25"/>
      <c r="K201" s="117"/>
      <c r="L201" s="117" t="s">
        <v>902</v>
      </c>
      <c r="M201" s="117"/>
      <c r="N201" s="117"/>
    </row>
    <row r="202" spans="2:13" ht="12.75">
      <c r="B202" s="60"/>
      <c r="C202" s="54"/>
      <c r="D202" s="54"/>
      <c r="E202" s="54"/>
      <c r="F202" s="54"/>
      <c r="G202" s="54"/>
      <c r="H202" s="54"/>
      <c r="I202" s="124"/>
      <c r="J202" s="54"/>
      <c r="K202" s="117"/>
      <c r="L202" s="117"/>
      <c r="M202" s="117"/>
    </row>
    <row r="203" spans="1:14" ht="57" customHeight="1">
      <c r="A203" s="4"/>
      <c r="B203" s="36" t="s">
        <v>972</v>
      </c>
      <c r="C203" s="36"/>
      <c r="D203" s="36"/>
      <c r="E203" s="36"/>
      <c r="F203" s="36"/>
      <c r="G203" s="37" t="s">
        <v>52</v>
      </c>
      <c r="H203" s="37"/>
      <c r="I203" s="37"/>
      <c r="J203" s="37"/>
      <c r="K203" s="117"/>
      <c r="L203" s="117"/>
      <c r="M203" s="117"/>
      <c r="N203" s="117"/>
    </row>
    <row r="204" spans="1:14" ht="26.25" customHeight="1">
      <c r="A204" s="4"/>
      <c r="B204" s="38" t="s">
        <v>973</v>
      </c>
      <c r="C204" s="38"/>
      <c r="D204" s="38"/>
      <c r="E204" s="38"/>
      <c r="F204" s="38"/>
      <c r="G204" s="25"/>
      <c r="H204" s="25"/>
      <c r="I204" s="25"/>
      <c r="J204" s="25"/>
      <c r="K204" s="117"/>
      <c r="L204" s="117" t="s">
        <v>898</v>
      </c>
      <c r="M204" s="117"/>
      <c r="N204" s="117"/>
    </row>
    <row r="205" spans="2:13" ht="14.25" customHeight="1">
      <c r="B205" s="10"/>
      <c r="C205" s="10"/>
      <c r="D205" s="10"/>
      <c r="E205" s="10"/>
      <c r="F205" s="10"/>
      <c r="G205" s="10"/>
      <c r="H205" s="10"/>
      <c r="I205" s="29"/>
      <c r="J205" s="29"/>
      <c r="K205" s="117"/>
      <c r="L205" s="117"/>
      <c r="M205" s="117"/>
    </row>
    <row r="206" spans="1:13" ht="12.75">
      <c r="A206" s="4"/>
      <c r="B206" s="30" t="s">
        <v>974</v>
      </c>
      <c r="C206" s="19" t="s">
        <v>28</v>
      </c>
      <c r="D206" s="19"/>
      <c r="E206" s="19"/>
      <c r="F206" s="19"/>
      <c r="G206" s="31" t="s">
        <v>29</v>
      </c>
      <c r="H206" s="31"/>
      <c r="I206" s="32"/>
      <c r="J206" s="13"/>
      <c r="K206" s="117"/>
      <c r="L206" s="117"/>
      <c r="M206" s="117"/>
    </row>
    <row r="207" spans="1:13" ht="12.75">
      <c r="A207" s="4"/>
      <c r="B207" s="33" t="s">
        <v>32</v>
      </c>
      <c r="C207" s="23"/>
      <c r="D207" s="23" t="s">
        <v>33</v>
      </c>
      <c r="E207" s="23" t="s">
        <v>34</v>
      </c>
      <c r="F207" s="23" t="s">
        <v>35</v>
      </c>
      <c r="G207" s="33" t="s">
        <v>36</v>
      </c>
      <c r="H207" s="33" t="s">
        <v>37</v>
      </c>
      <c r="I207" s="33" t="s">
        <v>38</v>
      </c>
      <c r="J207" s="99" t="s">
        <v>39</v>
      </c>
      <c r="K207" s="117"/>
      <c r="L207" s="117"/>
      <c r="M207" s="117"/>
    </row>
    <row r="208" spans="1:13" ht="12.75">
      <c r="A208" s="4"/>
      <c r="B208" s="123" t="s">
        <v>975</v>
      </c>
      <c r="C208" s="23"/>
      <c r="D208" s="23"/>
      <c r="E208" s="23"/>
      <c r="F208" s="23"/>
      <c r="G208" s="22" t="s">
        <v>41</v>
      </c>
      <c r="H208" s="22"/>
      <c r="I208" s="89"/>
      <c r="J208" s="99"/>
      <c r="K208" s="117"/>
      <c r="L208" s="117"/>
      <c r="M208" s="117"/>
    </row>
    <row r="209" spans="1:13" ht="13.5">
      <c r="A209" s="4"/>
      <c r="B209" s="57" t="s">
        <v>976</v>
      </c>
      <c r="C209" s="25"/>
      <c r="D209" s="25"/>
      <c r="E209" s="25"/>
      <c r="F209" s="25"/>
      <c r="G209" s="24" t="s">
        <v>41</v>
      </c>
      <c r="H209" s="24"/>
      <c r="I209" s="24" t="s">
        <v>977</v>
      </c>
      <c r="J209" s="101"/>
      <c r="K209" s="117"/>
      <c r="L209" s="117"/>
      <c r="M209" s="117"/>
    </row>
    <row r="210" spans="1:13" ht="13.5">
      <c r="A210" s="4"/>
      <c r="B210" s="123" t="s">
        <v>978</v>
      </c>
      <c r="C210" s="23"/>
      <c r="D210" s="23"/>
      <c r="E210" s="23"/>
      <c r="F210" s="23"/>
      <c r="G210" s="22" t="s">
        <v>41</v>
      </c>
      <c r="H210" s="22"/>
      <c r="I210" s="89" t="s">
        <v>979</v>
      </c>
      <c r="J210" s="99"/>
      <c r="K210" s="117"/>
      <c r="L210" s="117"/>
      <c r="M210" s="117"/>
    </row>
    <row r="211" spans="1:13" ht="13.5">
      <c r="A211" s="4"/>
      <c r="B211" s="57" t="s">
        <v>980</v>
      </c>
      <c r="C211" s="25"/>
      <c r="D211" s="25"/>
      <c r="E211" s="25"/>
      <c r="F211" s="25"/>
      <c r="G211" s="24" t="s">
        <v>41</v>
      </c>
      <c r="H211" s="24"/>
      <c r="I211" s="24" t="s">
        <v>981</v>
      </c>
      <c r="J211" s="101"/>
      <c r="K211" s="117"/>
      <c r="L211" s="117" t="s">
        <v>982</v>
      </c>
      <c r="M211" s="117"/>
    </row>
    <row r="212" spans="1:13" ht="13.5">
      <c r="A212" s="4"/>
      <c r="B212" s="123" t="s">
        <v>983</v>
      </c>
      <c r="C212" s="23"/>
      <c r="D212" s="23"/>
      <c r="E212" s="23"/>
      <c r="F212" s="23"/>
      <c r="G212" s="22" t="s">
        <v>41</v>
      </c>
      <c r="H212" s="22"/>
      <c r="I212" s="89" t="s">
        <v>984</v>
      </c>
      <c r="J212" s="99"/>
      <c r="K212" s="117"/>
      <c r="L212" s="117"/>
      <c r="M212" s="117"/>
    </row>
    <row r="213" spans="1:13" ht="13.5">
      <c r="A213" s="4"/>
      <c r="B213" s="57" t="s">
        <v>985</v>
      </c>
      <c r="C213" s="25"/>
      <c r="D213" s="25"/>
      <c r="E213" s="25"/>
      <c r="F213" s="25"/>
      <c r="G213" s="24" t="s">
        <v>41</v>
      </c>
      <c r="H213" s="24"/>
      <c r="I213" s="24" t="s">
        <v>985</v>
      </c>
      <c r="J213" s="101"/>
      <c r="K213" s="117"/>
      <c r="L213" s="117"/>
      <c r="M213" s="117"/>
    </row>
    <row r="214" spans="1:13" ht="26.25">
      <c r="A214" s="4"/>
      <c r="B214" s="125" t="s">
        <v>986</v>
      </c>
      <c r="C214" s="23"/>
      <c r="D214" s="23"/>
      <c r="E214" s="23"/>
      <c r="F214" s="23"/>
      <c r="G214" s="22" t="s">
        <v>41</v>
      </c>
      <c r="H214" s="22"/>
      <c r="I214" s="89" t="s">
        <v>987</v>
      </c>
      <c r="J214" s="99"/>
      <c r="K214" s="117"/>
      <c r="L214" s="117"/>
      <c r="M214" s="117"/>
    </row>
    <row r="215" spans="1:13" ht="13.5">
      <c r="A215" s="4"/>
      <c r="B215" s="57" t="s">
        <v>988</v>
      </c>
      <c r="C215" s="25"/>
      <c r="D215" s="25"/>
      <c r="E215" s="25"/>
      <c r="F215" s="25"/>
      <c r="G215" s="24" t="s">
        <v>41</v>
      </c>
      <c r="H215" s="24"/>
      <c r="I215" s="24"/>
      <c r="J215" s="101"/>
      <c r="K215" s="117"/>
      <c r="L215" s="117"/>
      <c r="M215" s="117"/>
    </row>
    <row r="216" spans="2:13" ht="14.25" customHeight="1">
      <c r="B216" s="10"/>
      <c r="C216" s="10"/>
      <c r="D216" s="10"/>
      <c r="E216" s="10"/>
      <c r="F216" s="10"/>
      <c r="G216" s="10"/>
      <c r="H216" s="10"/>
      <c r="I216" s="29"/>
      <c r="J216" s="29"/>
      <c r="K216" s="117"/>
      <c r="L216" s="117"/>
      <c r="M216" s="117"/>
    </row>
    <row r="217" spans="1:13" ht="12.75">
      <c r="A217" s="4"/>
      <c r="B217" s="30" t="s">
        <v>989</v>
      </c>
      <c r="C217" s="19" t="s">
        <v>28</v>
      </c>
      <c r="D217" s="19"/>
      <c r="E217" s="19"/>
      <c r="F217" s="19"/>
      <c r="G217" s="31" t="s">
        <v>29</v>
      </c>
      <c r="H217" s="31"/>
      <c r="I217" s="32"/>
      <c r="J217" s="13"/>
      <c r="K217" s="117"/>
      <c r="L217" s="117"/>
      <c r="M217" s="117"/>
    </row>
    <row r="218" spans="1:13" ht="12.75">
      <c r="A218" s="4"/>
      <c r="B218" s="33" t="s">
        <v>32</v>
      </c>
      <c r="C218" s="23"/>
      <c r="D218" s="23" t="s">
        <v>33</v>
      </c>
      <c r="E218" s="23" t="s">
        <v>34</v>
      </c>
      <c r="F218" s="23" t="s">
        <v>35</v>
      </c>
      <c r="G218" s="33" t="s">
        <v>36</v>
      </c>
      <c r="H218" s="33" t="s">
        <v>37</v>
      </c>
      <c r="I218" s="33" t="s">
        <v>38</v>
      </c>
      <c r="J218" s="99" t="s">
        <v>39</v>
      </c>
      <c r="K218" s="117"/>
      <c r="L218" s="117"/>
      <c r="M218" s="117"/>
    </row>
    <row r="219" spans="1:13" ht="13.5">
      <c r="A219" s="4"/>
      <c r="B219" s="57" t="s">
        <v>106</v>
      </c>
      <c r="C219" s="25"/>
      <c r="D219" s="25"/>
      <c r="E219" s="25"/>
      <c r="F219" s="25"/>
      <c r="G219" s="24" t="s">
        <v>41</v>
      </c>
      <c r="H219" s="24"/>
      <c r="I219" s="24"/>
      <c r="J219" s="101"/>
      <c r="K219" s="117"/>
      <c r="L219" s="117" t="s">
        <v>990</v>
      </c>
      <c r="M219" s="117"/>
    </row>
    <row r="220" spans="1:13" ht="13.5">
      <c r="A220" s="4"/>
      <c r="B220" s="57" t="s">
        <v>108</v>
      </c>
      <c r="C220" s="25"/>
      <c r="D220" s="25"/>
      <c r="E220" s="25"/>
      <c r="F220" s="25"/>
      <c r="G220" s="24" t="s">
        <v>41</v>
      </c>
      <c r="H220" s="24"/>
      <c r="I220" s="24"/>
      <c r="J220" s="101"/>
      <c r="K220" s="117"/>
      <c r="L220" s="117" t="s">
        <v>991</v>
      </c>
      <c r="M220" s="117"/>
    </row>
    <row r="221" spans="1:13" ht="13.5">
      <c r="A221" s="4"/>
      <c r="B221" s="67" t="s">
        <v>109</v>
      </c>
      <c r="C221" s="26"/>
      <c r="D221" s="26"/>
      <c r="E221" s="26"/>
      <c r="F221" s="26"/>
      <c r="G221" s="26"/>
      <c r="H221" s="26" t="s">
        <v>43</v>
      </c>
      <c r="I221" s="26"/>
      <c r="J221" s="102"/>
      <c r="K221" s="117"/>
      <c r="L221" s="117"/>
      <c r="M221" s="117"/>
    </row>
    <row r="222" spans="2:13" ht="14.25" customHeight="1">
      <c r="B222" s="10"/>
      <c r="C222" s="10"/>
      <c r="D222" s="10"/>
      <c r="E222" s="10"/>
      <c r="F222" s="10"/>
      <c r="G222" s="10"/>
      <c r="H222" s="10"/>
      <c r="I222" s="29"/>
      <c r="J222" s="29"/>
      <c r="K222" s="117"/>
      <c r="L222" s="117"/>
      <c r="M222" s="117"/>
    </row>
    <row r="223" spans="1:13" ht="12.75">
      <c r="A223" s="4"/>
      <c r="B223" s="30" t="s">
        <v>789</v>
      </c>
      <c r="C223" s="19" t="s">
        <v>28</v>
      </c>
      <c r="D223" s="19"/>
      <c r="E223" s="19"/>
      <c r="F223" s="19"/>
      <c r="G223" s="31" t="s">
        <v>29</v>
      </c>
      <c r="H223" s="31"/>
      <c r="I223" s="32"/>
      <c r="J223" s="13"/>
      <c r="K223" s="117"/>
      <c r="L223" s="117"/>
      <c r="M223" s="117"/>
    </row>
    <row r="224" spans="1:13" ht="12.75">
      <c r="A224" s="4"/>
      <c r="B224" s="33" t="s">
        <v>32</v>
      </c>
      <c r="C224" s="23"/>
      <c r="D224" s="23" t="s">
        <v>33</v>
      </c>
      <c r="E224" s="23" t="s">
        <v>34</v>
      </c>
      <c r="F224" s="23" t="s">
        <v>35</v>
      </c>
      <c r="G224" s="33" t="s">
        <v>36</v>
      </c>
      <c r="H224" s="33" t="s">
        <v>37</v>
      </c>
      <c r="I224" s="33" t="s">
        <v>38</v>
      </c>
      <c r="J224" s="99" t="s">
        <v>39</v>
      </c>
      <c r="K224" s="117"/>
      <c r="L224" s="117"/>
      <c r="M224" s="117"/>
    </row>
    <row r="225" spans="1:13" ht="12.75">
      <c r="A225" s="126"/>
      <c r="B225" s="57" t="s">
        <v>790</v>
      </c>
      <c r="C225" s="35"/>
      <c r="D225" s="35"/>
      <c r="E225" s="35"/>
      <c r="F225" s="35"/>
      <c r="G225" s="34" t="s">
        <v>41</v>
      </c>
      <c r="H225" s="22"/>
      <c r="I225" s="59">
        <f>HYPERLINK("NetworkAccessRecord!NA_Usage_IPAddressSetOrRangeOrMask","IPAddressSetOrRangeOrMask")</f>
        <v>0</v>
      </c>
      <c r="J225" s="99"/>
      <c r="K225" s="117"/>
      <c r="L225" s="117" t="s">
        <v>791</v>
      </c>
      <c r="M225" s="117"/>
    </row>
    <row r="226" spans="1:13" ht="12.75">
      <c r="A226" s="4"/>
      <c r="B226" s="57" t="s">
        <v>792</v>
      </c>
      <c r="C226" s="35"/>
      <c r="D226" s="35"/>
      <c r="E226" s="35"/>
      <c r="F226" s="35"/>
      <c r="G226" s="34" t="s">
        <v>41</v>
      </c>
      <c r="H226" s="22"/>
      <c r="I226" s="22" t="s">
        <v>793</v>
      </c>
      <c r="J226" s="99"/>
      <c r="K226" s="117"/>
      <c r="L226" s="117" t="s">
        <v>86</v>
      </c>
      <c r="M226" s="117"/>
    </row>
    <row r="227" spans="1:13" ht="12.75">
      <c r="A227" s="4"/>
      <c r="B227" s="57" t="s">
        <v>794</v>
      </c>
      <c r="C227" s="35"/>
      <c r="D227" s="35"/>
      <c r="E227" s="35"/>
      <c r="F227" s="35"/>
      <c r="G227" s="34" t="s">
        <v>41</v>
      </c>
      <c r="H227" s="22"/>
      <c r="I227" s="22"/>
      <c r="J227" s="99"/>
      <c r="K227" s="117"/>
      <c r="L227" s="117"/>
      <c r="M227" s="117"/>
    </row>
    <row r="228" spans="1:13" ht="12.75">
      <c r="A228" s="4"/>
      <c r="B228" s="122" t="s">
        <v>536</v>
      </c>
      <c r="C228" s="35"/>
      <c r="D228" s="35"/>
      <c r="E228" s="35"/>
      <c r="F228" s="35"/>
      <c r="G228" s="34" t="s">
        <v>41</v>
      </c>
      <c r="H228" s="22"/>
      <c r="I228" s="22"/>
      <c r="J228" s="99"/>
      <c r="K228" s="117"/>
      <c r="L228" s="117"/>
      <c r="M228" s="117"/>
    </row>
    <row r="229" spans="1:13" ht="12.75">
      <c r="A229" s="4"/>
      <c r="B229" s="122" t="s">
        <v>796</v>
      </c>
      <c r="C229" s="35"/>
      <c r="D229" s="35"/>
      <c r="E229" s="35"/>
      <c r="F229" s="35"/>
      <c r="G229" s="34" t="s">
        <v>41</v>
      </c>
      <c r="H229" s="22"/>
      <c r="I229" s="22"/>
      <c r="J229" s="99"/>
      <c r="K229" s="117"/>
      <c r="L229" s="117"/>
      <c r="M229" s="117"/>
    </row>
    <row r="230" spans="1:13" ht="12.75">
      <c r="A230" s="4"/>
      <c r="B230" s="122" t="s">
        <v>797</v>
      </c>
      <c r="C230" s="35"/>
      <c r="D230" s="35"/>
      <c r="E230" s="35"/>
      <c r="F230" s="35"/>
      <c r="G230" s="34" t="s">
        <v>41</v>
      </c>
      <c r="H230" s="22"/>
      <c r="I230" s="22"/>
      <c r="J230" s="99"/>
      <c r="K230" s="117"/>
      <c r="L230" s="117" t="s">
        <v>992</v>
      </c>
      <c r="M230" s="117"/>
    </row>
    <row r="231" spans="1:13" ht="12.75">
      <c r="A231" s="4"/>
      <c r="B231" s="57" t="s">
        <v>798</v>
      </c>
      <c r="C231" s="35"/>
      <c r="D231" s="35"/>
      <c r="E231" s="35"/>
      <c r="F231" s="35"/>
      <c r="G231" s="34" t="s">
        <v>41</v>
      </c>
      <c r="H231" s="22"/>
      <c r="I231" s="59">
        <f>HYPERLINK("NetworkAccessRecord!NA_Usage_NAAssignedAddress_AssignedAddress_TimeSpan","TimeSpan")</f>
        <v>0</v>
      </c>
      <c r="J231" s="99"/>
      <c r="K231" s="117"/>
      <c r="L231" s="117" t="s">
        <v>189</v>
      </c>
      <c r="M231" s="117"/>
    </row>
    <row r="232" spans="1:13" ht="12.75">
      <c r="A232" s="4"/>
      <c r="B232" s="57" t="s">
        <v>799</v>
      </c>
      <c r="C232" s="35"/>
      <c r="D232" s="35"/>
      <c r="E232" s="35"/>
      <c r="F232" s="35"/>
      <c r="G232" s="34" t="s">
        <v>41</v>
      </c>
      <c r="H232" s="22"/>
      <c r="I232" s="59">
        <f>HYPERLINK("NetworkAccessRecord!NA_Usage_NAAssigendAddress_destinationAddress_IPAddress","IPAddress")</f>
        <v>0</v>
      </c>
      <c r="J232" s="99"/>
      <c r="K232" s="117"/>
      <c r="L232" s="117" t="s">
        <v>600</v>
      </c>
      <c r="M232" s="117"/>
    </row>
    <row r="233" spans="1:13" ht="71.25" customHeight="1">
      <c r="A233" s="4"/>
      <c r="B233" s="57" t="s">
        <v>801</v>
      </c>
      <c r="C233" s="35"/>
      <c r="D233" s="35"/>
      <c r="E233" s="35"/>
      <c r="F233" s="35"/>
      <c r="G233" s="34" t="s">
        <v>41</v>
      </c>
      <c r="H233" s="22"/>
      <c r="I233" s="89" t="s">
        <v>802</v>
      </c>
      <c r="J233" s="99"/>
      <c r="K233" s="117"/>
      <c r="L233" s="117" t="s">
        <v>86</v>
      </c>
      <c r="M233" s="117"/>
    </row>
    <row r="234" spans="2:13" ht="14.25" customHeight="1">
      <c r="B234" s="10"/>
      <c r="C234" s="10"/>
      <c r="D234" s="10"/>
      <c r="E234" s="10"/>
      <c r="F234" s="10"/>
      <c r="G234" s="10"/>
      <c r="H234" s="10"/>
      <c r="I234" s="29"/>
      <c r="J234" s="29"/>
      <c r="K234" s="117"/>
      <c r="L234" s="117"/>
      <c r="M234" s="117"/>
    </row>
    <row r="235" spans="1:13" ht="12.75">
      <c r="A235" s="4"/>
      <c r="B235" s="30" t="s">
        <v>803</v>
      </c>
      <c r="C235" s="19" t="s">
        <v>28</v>
      </c>
      <c r="D235" s="19"/>
      <c r="E235" s="19"/>
      <c r="F235" s="19"/>
      <c r="G235" s="31" t="s">
        <v>29</v>
      </c>
      <c r="H235" s="31"/>
      <c r="I235" s="32"/>
      <c r="J235" s="13"/>
      <c r="K235" s="117"/>
      <c r="L235" s="117"/>
      <c r="M235" s="117"/>
    </row>
    <row r="236" spans="1:13" ht="12.75">
      <c r="A236" s="4"/>
      <c r="B236" s="33" t="s">
        <v>32</v>
      </c>
      <c r="C236" s="23"/>
      <c r="D236" s="23" t="s">
        <v>33</v>
      </c>
      <c r="E236" s="23" t="s">
        <v>34</v>
      </c>
      <c r="F236" s="23" t="s">
        <v>35</v>
      </c>
      <c r="G236" s="33" t="s">
        <v>36</v>
      </c>
      <c r="H236" s="33" t="s">
        <v>37</v>
      </c>
      <c r="I236" s="33" t="s">
        <v>38</v>
      </c>
      <c r="J236" s="99" t="s">
        <v>39</v>
      </c>
      <c r="K236" s="117"/>
      <c r="L236" s="117"/>
      <c r="M236" s="117"/>
    </row>
    <row r="237" spans="1:13" ht="12.75">
      <c r="A237" s="4"/>
      <c r="B237" s="112" t="s">
        <v>804</v>
      </c>
      <c r="C237" s="35"/>
      <c r="D237" s="35"/>
      <c r="E237" s="35"/>
      <c r="F237" s="35"/>
      <c r="G237" s="34" t="s">
        <v>41</v>
      </c>
      <c r="H237" s="22"/>
      <c r="I237" s="59">
        <f>HYPERLINK("NetworkAccessRecord!NA_Usage_IPASOROM_set_IPAddress","IPAddress")</f>
        <v>0</v>
      </c>
      <c r="J237" s="99"/>
      <c r="K237" s="117"/>
      <c r="L237" s="117" t="s">
        <v>937</v>
      </c>
      <c r="M237" s="117"/>
    </row>
    <row r="238" spans="1:13" ht="12.75">
      <c r="A238" s="4"/>
      <c r="B238" s="112" t="s">
        <v>805</v>
      </c>
      <c r="C238" s="35"/>
      <c r="D238" s="35"/>
      <c r="E238" s="35"/>
      <c r="F238" s="35"/>
      <c r="G238" s="34" t="s">
        <v>41</v>
      </c>
      <c r="H238" s="22"/>
      <c r="I238" s="59">
        <f>HYPERLINK("NetworkAccessRecord!NA_Usage_IPASOROM_IPRange","IPRange")</f>
        <v>0</v>
      </c>
      <c r="J238" s="99"/>
      <c r="K238" s="117"/>
      <c r="L238" s="117"/>
      <c r="M238" s="117"/>
    </row>
    <row r="239" spans="1:13" ht="12.75">
      <c r="A239" s="4"/>
      <c r="B239" s="112" t="s">
        <v>807</v>
      </c>
      <c r="C239" s="35"/>
      <c r="D239" s="35"/>
      <c r="E239" s="35"/>
      <c r="F239" s="35"/>
      <c r="G239" s="34" t="s">
        <v>41</v>
      </c>
      <c r="H239" s="22"/>
      <c r="I239" s="59">
        <f>HYPERLINK("NetworkAccessRecord!NA_Usage_IPASOROM_IPMask","IPMask")</f>
        <v>0</v>
      </c>
      <c r="J239" s="99"/>
      <c r="K239" s="117"/>
      <c r="L239" s="117"/>
      <c r="M239" s="117"/>
    </row>
    <row r="240" spans="2:13" ht="12.75">
      <c r="B240" s="10"/>
      <c r="C240" s="10"/>
      <c r="D240" s="10"/>
      <c r="E240" s="10"/>
      <c r="F240" s="10"/>
      <c r="G240" s="10"/>
      <c r="H240" s="10"/>
      <c r="I240" s="29"/>
      <c r="J240" s="11"/>
      <c r="K240" s="117"/>
      <c r="L240" s="117"/>
      <c r="M240" s="117"/>
    </row>
    <row r="241" spans="1:13" ht="12.75">
      <c r="A241" s="4"/>
      <c r="B241" s="30" t="s">
        <v>809</v>
      </c>
      <c r="C241" s="19" t="s">
        <v>28</v>
      </c>
      <c r="D241" s="19"/>
      <c r="E241" s="19"/>
      <c r="F241" s="19"/>
      <c r="G241" s="31" t="s">
        <v>29</v>
      </c>
      <c r="H241" s="31"/>
      <c r="I241" s="32"/>
      <c r="J241" s="13"/>
      <c r="K241" s="117"/>
      <c r="L241" s="117"/>
      <c r="M241" s="117"/>
    </row>
    <row r="242" spans="1:13" ht="12.75">
      <c r="A242" s="4"/>
      <c r="B242" s="33" t="s">
        <v>32</v>
      </c>
      <c r="C242" s="23"/>
      <c r="D242" s="23" t="s">
        <v>33</v>
      </c>
      <c r="E242" s="23" t="s">
        <v>34</v>
      </c>
      <c r="F242" s="23" t="s">
        <v>35</v>
      </c>
      <c r="G242" s="33" t="s">
        <v>36</v>
      </c>
      <c r="H242" s="33" t="s">
        <v>37</v>
      </c>
      <c r="I242" s="33" t="s">
        <v>38</v>
      </c>
      <c r="J242" s="99" t="s">
        <v>39</v>
      </c>
      <c r="K242" s="117"/>
      <c r="L242" s="117"/>
      <c r="M242" s="117"/>
    </row>
    <row r="243" spans="1:13" ht="12.75">
      <c r="A243" s="4"/>
      <c r="B243" s="57" t="s">
        <v>621</v>
      </c>
      <c r="C243" s="35"/>
      <c r="D243" s="35"/>
      <c r="E243" s="35"/>
      <c r="F243" s="35"/>
      <c r="G243" s="34" t="s">
        <v>41</v>
      </c>
      <c r="H243" s="22"/>
      <c r="I243" s="22" t="s">
        <v>622</v>
      </c>
      <c r="J243" s="99"/>
      <c r="K243" s="117"/>
      <c r="L243" s="117" t="s">
        <v>938</v>
      </c>
      <c r="M243" s="117"/>
    </row>
    <row r="244" spans="1:13" ht="12.75">
      <c r="A244" s="4"/>
      <c r="B244" s="57" t="s">
        <v>624</v>
      </c>
      <c r="C244" s="35"/>
      <c r="D244" s="35"/>
      <c r="E244" s="35"/>
      <c r="F244" s="35"/>
      <c r="G244" s="34" t="s">
        <v>41</v>
      </c>
      <c r="H244" s="22"/>
      <c r="I244" s="22" t="s">
        <v>625</v>
      </c>
      <c r="J244" s="99"/>
      <c r="K244" s="117"/>
      <c r="L244" s="117" t="s">
        <v>86</v>
      </c>
      <c r="M244" s="117"/>
    </row>
    <row r="245" spans="1:13" ht="12.75">
      <c r="A245" s="4"/>
      <c r="B245" s="57" t="s">
        <v>626</v>
      </c>
      <c r="C245" s="35"/>
      <c r="D245" s="35"/>
      <c r="E245" s="35"/>
      <c r="F245" s="35"/>
      <c r="G245" s="34" t="s">
        <v>41</v>
      </c>
      <c r="H245" s="22"/>
      <c r="I245" s="22" t="s">
        <v>627</v>
      </c>
      <c r="J245" s="99"/>
      <c r="K245" s="117"/>
      <c r="L245" s="117" t="s">
        <v>939</v>
      </c>
      <c r="M245" s="117"/>
    </row>
    <row r="246" spans="2:13" ht="14.25" customHeight="1">
      <c r="B246" s="10"/>
      <c r="C246" s="10"/>
      <c r="D246" s="10"/>
      <c r="E246" s="10"/>
      <c r="F246" s="10"/>
      <c r="G246" s="10"/>
      <c r="H246" s="10"/>
      <c r="I246" s="29"/>
      <c r="J246" s="29"/>
      <c r="K246" s="117"/>
      <c r="L246" s="117"/>
      <c r="M246" s="117"/>
    </row>
    <row r="247" spans="1:13" ht="12.75">
      <c r="A247" s="4"/>
      <c r="B247" s="30" t="s">
        <v>812</v>
      </c>
      <c r="C247" s="19" t="s">
        <v>28</v>
      </c>
      <c r="D247" s="19"/>
      <c r="E247" s="19"/>
      <c r="F247" s="19"/>
      <c r="G247" s="31" t="s">
        <v>29</v>
      </c>
      <c r="H247" s="31"/>
      <c r="I247" s="32"/>
      <c r="J247" s="13"/>
      <c r="K247" s="117"/>
      <c r="L247" s="117"/>
      <c r="M247" s="117"/>
    </row>
    <row r="248" spans="1:13" ht="12.75">
      <c r="A248" s="4"/>
      <c r="B248" s="33" t="s">
        <v>32</v>
      </c>
      <c r="C248" s="23"/>
      <c r="D248" s="23" t="s">
        <v>33</v>
      </c>
      <c r="E248" s="23" t="s">
        <v>34</v>
      </c>
      <c r="F248" s="23" t="s">
        <v>35</v>
      </c>
      <c r="G248" s="33" t="s">
        <v>36</v>
      </c>
      <c r="H248" s="33" t="s">
        <v>37</v>
      </c>
      <c r="I248" s="33" t="s">
        <v>38</v>
      </c>
      <c r="J248" s="99" t="s">
        <v>39</v>
      </c>
      <c r="K248" s="117"/>
      <c r="L248" s="117"/>
      <c r="M248" s="117"/>
    </row>
    <row r="249" spans="1:13" ht="12.75">
      <c r="A249" s="4"/>
      <c r="B249" s="57" t="s">
        <v>813</v>
      </c>
      <c r="C249" s="35"/>
      <c r="D249" s="35"/>
      <c r="E249" s="35"/>
      <c r="F249" s="35"/>
      <c r="G249" s="34" t="s">
        <v>41</v>
      </c>
      <c r="H249" s="22"/>
      <c r="I249" s="59">
        <f>HYPERLINK("NetworkAccessRecord!NA_Usage_IPASOROM_Prefix_IPAddress","IPAddress")</f>
        <v>0</v>
      </c>
      <c r="J249" s="99"/>
      <c r="K249" s="117"/>
      <c r="L249" s="117" t="s">
        <v>86</v>
      </c>
      <c r="M249" s="117"/>
    </row>
    <row r="250" spans="1:13" ht="12.75">
      <c r="A250" s="4"/>
      <c r="B250" s="57" t="s">
        <v>814</v>
      </c>
      <c r="C250" s="35"/>
      <c r="D250" s="35"/>
      <c r="E250" s="35"/>
      <c r="F250" s="35"/>
      <c r="G250" s="34" t="s">
        <v>41</v>
      </c>
      <c r="H250" s="22"/>
      <c r="I250" s="22" t="s">
        <v>815</v>
      </c>
      <c r="J250" s="99"/>
      <c r="K250" s="117"/>
      <c r="L250" s="117" t="s">
        <v>86</v>
      </c>
      <c r="M250" s="117"/>
    </row>
    <row r="251" spans="2:13" ht="14.25" customHeight="1">
      <c r="B251" s="10"/>
      <c r="C251" s="10"/>
      <c r="D251" s="10"/>
      <c r="E251" s="10"/>
      <c r="F251" s="10"/>
      <c r="G251" s="10"/>
      <c r="H251" s="10"/>
      <c r="I251" s="29"/>
      <c r="J251" s="29"/>
      <c r="K251" s="117"/>
      <c r="L251" s="117"/>
      <c r="M251" s="117"/>
    </row>
    <row r="252" spans="1:13" ht="12.75">
      <c r="A252" s="4"/>
      <c r="B252" s="30" t="s">
        <v>816</v>
      </c>
      <c r="C252" s="19" t="s">
        <v>28</v>
      </c>
      <c r="D252" s="19"/>
      <c r="E252" s="19"/>
      <c r="F252" s="19"/>
      <c r="G252" s="31" t="s">
        <v>29</v>
      </c>
      <c r="H252" s="31"/>
      <c r="I252" s="32"/>
      <c r="J252" s="13"/>
      <c r="K252" s="117"/>
      <c r="L252" s="117"/>
      <c r="M252" s="117"/>
    </row>
    <row r="253" spans="1:13" ht="12.75">
      <c r="A253" s="4"/>
      <c r="B253" s="33" t="s">
        <v>32</v>
      </c>
      <c r="C253" s="23"/>
      <c r="D253" s="23" t="s">
        <v>33</v>
      </c>
      <c r="E253" s="23" t="s">
        <v>34</v>
      </c>
      <c r="F253" s="23" t="s">
        <v>35</v>
      </c>
      <c r="G253" s="33" t="s">
        <v>36</v>
      </c>
      <c r="H253" s="33" t="s">
        <v>37</v>
      </c>
      <c r="I253" s="33" t="s">
        <v>38</v>
      </c>
      <c r="J253" s="99" t="s">
        <v>39</v>
      </c>
      <c r="K253" s="117"/>
      <c r="L253" s="117"/>
      <c r="M253" s="117"/>
    </row>
    <row r="254" spans="1:13" ht="12.75">
      <c r="A254" s="4"/>
      <c r="B254" s="57" t="s">
        <v>621</v>
      </c>
      <c r="C254" s="35"/>
      <c r="D254" s="35"/>
      <c r="E254" s="35"/>
      <c r="F254" s="35"/>
      <c r="G254" s="34" t="s">
        <v>41</v>
      </c>
      <c r="H254" s="22"/>
      <c r="I254" s="22" t="s">
        <v>622</v>
      </c>
      <c r="J254" s="99"/>
      <c r="K254" s="117"/>
      <c r="L254" s="117" t="s">
        <v>86</v>
      </c>
      <c r="M254" s="117"/>
    </row>
    <row r="255" spans="1:13" ht="12.75">
      <c r="A255" s="4"/>
      <c r="B255" s="57" t="s">
        <v>624</v>
      </c>
      <c r="C255" s="35"/>
      <c r="D255" s="35"/>
      <c r="E255" s="35"/>
      <c r="F255" s="35"/>
      <c r="G255" s="34" t="s">
        <v>41</v>
      </c>
      <c r="H255" s="22"/>
      <c r="I255" s="22" t="s">
        <v>625</v>
      </c>
      <c r="J255" s="99"/>
      <c r="K255" s="117"/>
      <c r="L255" s="117" t="s">
        <v>86</v>
      </c>
      <c r="M255" s="117"/>
    </row>
    <row r="256" spans="1:13" ht="12.75">
      <c r="A256" s="4"/>
      <c r="B256" s="57" t="s">
        <v>626</v>
      </c>
      <c r="C256" s="35"/>
      <c r="D256" s="35"/>
      <c r="E256" s="35"/>
      <c r="F256" s="35"/>
      <c r="G256" s="34" t="s">
        <v>41</v>
      </c>
      <c r="H256" s="22"/>
      <c r="I256" s="22" t="s">
        <v>627</v>
      </c>
      <c r="J256" s="99"/>
      <c r="K256" s="117"/>
      <c r="L256" s="117" t="s">
        <v>86</v>
      </c>
      <c r="M256" s="117"/>
    </row>
    <row r="257" spans="2:13" ht="14.25" customHeight="1">
      <c r="B257" s="10"/>
      <c r="C257" s="10"/>
      <c r="D257" s="10"/>
      <c r="E257" s="10"/>
      <c r="F257" s="10"/>
      <c r="G257" s="10"/>
      <c r="H257" s="10"/>
      <c r="I257" s="29"/>
      <c r="J257" s="29"/>
      <c r="K257" s="117"/>
      <c r="L257" s="117"/>
      <c r="M257" s="117"/>
    </row>
    <row r="258" spans="1:13" ht="12.75">
      <c r="A258" s="4"/>
      <c r="B258" s="30" t="s">
        <v>818</v>
      </c>
      <c r="C258" s="19" t="s">
        <v>28</v>
      </c>
      <c r="D258" s="19"/>
      <c r="E258" s="19"/>
      <c r="F258" s="19"/>
      <c r="G258" s="31" t="s">
        <v>29</v>
      </c>
      <c r="H258" s="31"/>
      <c r="I258" s="32"/>
      <c r="J258" s="13"/>
      <c r="K258" s="117"/>
      <c r="L258" s="117"/>
      <c r="M258" s="117"/>
    </row>
    <row r="259" spans="1:13" ht="12.75">
      <c r="A259" s="4"/>
      <c r="B259" s="33" t="s">
        <v>32</v>
      </c>
      <c r="C259" s="23"/>
      <c r="D259" s="23" t="s">
        <v>33</v>
      </c>
      <c r="E259" s="23" t="s">
        <v>34</v>
      </c>
      <c r="F259" s="23" t="s">
        <v>35</v>
      </c>
      <c r="G259" s="33" t="s">
        <v>36</v>
      </c>
      <c r="H259" s="33" t="s">
        <v>37</v>
      </c>
      <c r="I259" s="33" t="s">
        <v>38</v>
      </c>
      <c r="J259" s="99" t="s">
        <v>39</v>
      </c>
      <c r="K259" s="117"/>
      <c r="L259" s="117"/>
      <c r="M259" s="117"/>
    </row>
    <row r="260" spans="1:13" ht="12.75">
      <c r="A260" s="4"/>
      <c r="B260" s="57" t="s">
        <v>819</v>
      </c>
      <c r="C260" s="35"/>
      <c r="D260" s="35"/>
      <c r="E260" s="35"/>
      <c r="F260" s="35"/>
      <c r="G260" s="34" t="s">
        <v>41</v>
      </c>
      <c r="H260" s="22"/>
      <c r="I260" s="59">
        <f>HYPERLINK("NetworkAccessRecord!NA_Usage_IPASOROM_base_IPAddress","IPAddress")</f>
        <v>0</v>
      </c>
      <c r="J260" s="99"/>
      <c r="K260" s="117"/>
      <c r="L260" s="117" t="s">
        <v>86</v>
      </c>
      <c r="M260" s="117"/>
    </row>
    <row r="261" spans="1:13" ht="12.75">
      <c r="A261" s="4"/>
      <c r="B261" s="57" t="s">
        <v>820</v>
      </c>
      <c r="C261" s="35"/>
      <c r="D261" s="35"/>
      <c r="E261" s="35"/>
      <c r="F261" s="35"/>
      <c r="G261" s="34" t="s">
        <v>41</v>
      </c>
      <c r="H261" s="22"/>
      <c r="I261" s="59">
        <f>HYPERLINK("NetworkAccessRecord!NA_Usage_IPASOROM_mask_IPAddress","IPAddress")</f>
        <v>0</v>
      </c>
      <c r="J261" s="99"/>
      <c r="K261" s="117"/>
      <c r="L261" s="117" t="s">
        <v>86</v>
      </c>
      <c r="M261" s="117"/>
    </row>
    <row r="262" spans="2:13" ht="14.25" customHeight="1">
      <c r="B262" s="10"/>
      <c r="C262" s="10"/>
      <c r="D262" s="10"/>
      <c r="E262" s="10"/>
      <c r="F262" s="10"/>
      <c r="G262" s="10"/>
      <c r="H262" s="10"/>
      <c r="I262" s="29"/>
      <c r="J262" s="29"/>
      <c r="K262" s="117"/>
      <c r="L262" s="117"/>
      <c r="M262" s="117"/>
    </row>
    <row r="263" spans="1:13" ht="12.75">
      <c r="A263" s="4"/>
      <c r="B263" s="30" t="s">
        <v>821</v>
      </c>
      <c r="C263" s="19" t="s">
        <v>28</v>
      </c>
      <c r="D263" s="19"/>
      <c r="E263" s="19"/>
      <c r="F263" s="19"/>
      <c r="G263" s="31" t="s">
        <v>29</v>
      </c>
      <c r="H263" s="31"/>
      <c r="I263" s="32"/>
      <c r="J263" s="13"/>
      <c r="K263" s="117"/>
      <c r="L263" s="117"/>
      <c r="M263" s="117"/>
    </row>
    <row r="264" spans="1:13" ht="12.75">
      <c r="A264" s="4"/>
      <c r="B264" s="33" t="s">
        <v>32</v>
      </c>
      <c r="C264" s="23"/>
      <c r="D264" s="23" t="s">
        <v>33</v>
      </c>
      <c r="E264" s="23" t="s">
        <v>34</v>
      </c>
      <c r="F264" s="23" t="s">
        <v>35</v>
      </c>
      <c r="G264" s="33" t="s">
        <v>36</v>
      </c>
      <c r="H264" s="33" t="s">
        <v>37</v>
      </c>
      <c r="I264" s="33" t="s">
        <v>38</v>
      </c>
      <c r="J264" s="99" t="s">
        <v>39</v>
      </c>
      <c r="K264" s="117"/>
      <c r="L264" s="117"/>
      <c r="M264" s="117"/>
    </row>
    <row r="265" spans="1:13" ht="12.75">
      <c r="A265" s="4"/>
      <c r="B265" s="57" t="s">
        <v>621</v>
      </c>
      <c r="C265" s="35"/>
      <c r="D265" s="35"/>
      <c r="E265" s="35"/>
      <c r="F265" s="35"/>
      <c r="G265" s="34" t="s">
        <v>41</v>
      </c>
      <c r="H265" s="22"/>
      <c r="I265" s="22" t="s">
        <v>622</v>
      </c>
      <c r="J265" s="99"/>
      <c r="K265" s="117"/>
      <c r="L265" s="117" t="s">
        <v>86</v>
      </c>
      <c r="M265" s="117"/>
    </row>
    <row r="266" spans="1:13" ht="12.75">
      <c r="A266" s="4"/>
      <c r="B266" s="57" t="s">
        <v>624</v>
      </c>
      <c r="C266" s="35"/>
      <c r="D266" s="35"/>
      <c r="E266" s="35"/>
      <c r="F266" s="35"/>
      <c r="G266" s="34" t="s">
        <v>41</v>
      </c>
      <c r="H266" s="22"/>
      <c r="I266" s="22" t="s">
        <v>625</v>
      </c>
      <c r="J266" s="99"/>
      <c r="K266" s="117"/>
      <c r="L266" s="117" t="s">
        <v>86</v>
      </c>
      <c r="M266" s="117"/>
    </row>
    <row r="267" spans="1:13" ht="12.75">
      <c r="A267" s="4"/>
      <c r="B267" s="57" t="s">
        <v>626</v>
      </c>
      <c r="C267" s="35"/>
      <c r="D267" s="35"/>
      <c r="E267" s="35"/>
      <c r="F267" s="35"/>
      <c r="G267" s="34" t="s">
        <v>41</v>
      </c>
      <c r="H267" s="22"/>
      <c r="I267" s="22" t="s">
        <v>627</v>
      </c>
      <c r="J267" s="99"/>
      <c r="K267" s="117"/>
      <c r="L267" s="117" t="s">
        <v>86</v>
      </c>
      <c r="M267" s="117"/>
    </row>
    <row r="268" spans="2:13" ht="14.25" customHeight="1">
      <c r="B268" s="10"/>
      <c r="C268" s="10"/>
      <c r="D268" s="10"/>
      <c r="E268" s="10"/>
      <c r="F268" s="10"/>
      <c r="G268" s="10"/>
      <c r="H268" s="10"/>
      <c r="I268" s="29"/>
      <c r="J268" s="29"/>
      <c r="K268" s="117"/>
      <c r="L268" s="117"/>
      <c r="M268" s="117"/>
    </row>
    <row r="269" spans="1:13" ht="12.75">
      <c r="A269" s="4"/>
      <c r="B269" s="30" t="s">
        <v>823</v>
      </c>
      <c r="C269" s="19" t="s">
        <v>28</v>
      </c>
      <c r="D269" s="19"/>
      <c r="E269" s="19"/>
      <c r="F269" s="19"/>
      <c r="G269" s="31" t="s">
        <v>29</v>
      </c>
      <c r="H269" s="31"/>
      <c r="I269" s="32"/>
      <c r="J269" s="13"/>
      <c r="K269" s="117"/>
      <c r="L269" s="117"/>
      <c r="M269" s="117"/>
    </row>
    <row r="270" spans="1:13" ht="12.75">
      <c r="A270" s="4"/>
      <c r="B270" s="33" t="s">
        <v>32</v>
      </c>
      <c r="C270" s="23"/>
      <c r="D270" s="23" t="s">
        <v>33</v>
      </c>
      <c r="E270" s="23" t="s">
        <v>34</v>
      </c>
      <c r="F270" s="23" t="s">
        <v>35</v>
      </c>
      <c r="G270" s="33" t="s">
        <v>36</v>
      </c>
      <c r="H270" s="33" t="s">
        <v>37</v>
      </c>
      <c r="I270" s="33" t="s">
        <v>38</v>
      </c>
      <c r="J270" s="99" t="s">
        <v>39</v>
      </c>
      <c r="K270" s="117"/>
      <c r="L270" s="117"/>
      <c r="M270" s="117"/>
    </row>
    <row r="271" spans="1:13" ht="12.75">
      <c r="A271" s="4"/>
      <c r="B271" s="57" t="s">
        <v>621</v>
      </c>
      <c r="C271" s="35"/>
      <c r="D271" s="35"/>
      <c r="E271" s="35"/>
      <c r="F271" s="35"/>
      <c r="G271" s="34" t="s">
        <v>41</v>
      </c>
      <c r="H271" s="22"/>
      <c r="I271" s="22" t="s">
        <v>622</v>
      </c>
      <c r="J271" s="99"/>
      <c r="K271" s="117"/>
      <c r="L271" s="117" t="s">
        <v>86</v>
      </c>
      <c r="M271" s="117"/>
    </row>
    <row r="272" spans="1:13" ht="12.75">
      <c r="A272" s="4"/>
      <c r="B272" s="57" t="s">
        <v>624</v>
      </c>
      <c r="C272" s="35"/>
      <c r="D272" s="35"/>
      <c r="E272" s="35"/>
      <c r="F272" s="35"/>
      <c r="G272" s="34" t="s">
        <v>41</v>
      </c>
      <c r="H272" s="22"/>
      <c r="I272" s="22" t="s">
        <v>625</v>
      </c>
      <c r="J272" s="99"/>
      <c r="K272" s="117"/>
      <c r="L272" s="117" t="s">
        <v>86</v>
      </c>
      <c r="M272" s="117"/>
    </row>
    <row r="273" spans="1:13" ht="12.75">
      <c r="A273" s="4"/>
      <c r="B273" s="57" t="s">
        <v>626</v>
      </c>
      <c r="C273" s="35"/>
      <c r="D273" s="35"/>
      <c r="E273" s="35"/>
      <c r="F273" s="35"/>
      <c r="G273" s="34" t="s">
        <v>41</v>
      </c>
      <c r="H273" s="22"/>
      <c r="I273" s="22" t="s">
        <v>627</v>
      </c>
      <c r="J273" s="99"/>
      <c r="K273" s="117"/>
      <c r="L273" s="117" t="s">
        <v>86</v>
      </c>
      <c r="M273" s="117"/>
    </row>
    <row r="274" spans="2:13" ht="14.25" customHeight="1">
      <c r="B274" s="10"/>
      <c r="C274" s="10"/>
      <c r="D274" s="10"/>
      <c r="E274" s="10"/>
      <c r="F274" s="10"/>
      <c r="G274" s="10"/>
      <c r="H274" s="10"/>
      <c r="I274" s="29"/>
      <c r="J274" s="29"/>
      <c r="K274" s="117"/>
      <c r="L274" s="117"/>
      <c r="M274" s="117"/>
    </row>
    <row r="275" spans="1:13" ht="12.75">
      <c r="A275" s="4"/>
      <c r="B275" s="30" t="s">
        <v>993</v>
      </c>
      <c r="C275" s="19" t="s">
        <v>28</v>
      </c>
      <c r="D275" s="19"/>
      <c r="E275" s="19"/>
      <c r="F275" s="19"/>
      <c r="G275" s="31" t="s">
        <v>29</v>
      </c>
      <c r="H275" s="31"/>
      <c r="I275" s="32"/>
      <c r="J275" s="13"/>
      <c r="K275" s="117"/>
      <c r="L275" s="117"/>
      <c r="M275" s="117"/>
    </row>
    <row r="276" spans="1:13" ht="12.75">
      <c r="A276" s="4"/>
      <c r="B276" s="33" t="s">
        <v>32</v>
      </c>
      <c r="C276" s="23"/>
      <c r="D276" s="23" t="s">
        <v>33</v>
      </c>
      <c r="E276" s="23" t="s">
        <v>34</v>
      </c>
      <c r="F276" s="23" t="s">
        <v>35</v>
      </c>
      <c r="G276" s="33" t="s">
        <v>36</v>
      </c>
      <c r="H276" s="33" t="s">
        <v>37</v>
      </c>
      <c r="I276" s="33" t="s">
        <v>38</v>
      </c>
      <c r="J276" s="99" t="s">
        <v>39</v>
      </c>
      <c r="K276" s="117"/>
      <c r="L276" s="117"/>
      <c r="M276" s="117"/>
    </row>
    <row r="277" spans="1:13" ht="13.5">
      <c r="A277" s="4"/>
      <c r="B277" s="57" t="s">
        <v>106</v>
      </c>
      <c r="C277" s="25"/>
      <c r="D277" s="25"/>
      <c r="E277" s="25"/>
      <c r="F277" s="25"/>
      <c r="G277" s="24" t="s">
        <v>41</v>
      </c>
      <c r="H277" s="24"/>
      <c r="I277" s="24"/>
      <c r="J277" s="101"/>
      <c r="K277" s="117"/>
      <c r="L277" s="117" t="s">
        <v>990</v>
      </c>
      <c r="M277" s="117"/>
    </row>
    <row r="278" spans="1:13" ht="13.5">
      <c r="A278" s="4"/>
      <c r="B278" s="57" t="s">
        <v>108</v>
      </c>
      <c r="C278" s="25"/>
      <c r="D278" s="25"/>
      <c r="E278" s="25"/>
      <c r="F278" s="25"/>
      <c r="G278" s="24" t="s">
        <v>41</v>
      </c>
      <c r="H278" s="24"/>
      <c r="I278" s="24"/>
      <c r="J278" s="101"/>
      <c r="K278" s="117"/>
      <c r="L278" s="117" t="s">
        <v>991</v>
      </c>
      <c r="M278" s="117"/>
    </row>
    <row r="279" spans="1:13" ht="13.5">
      <c r="A279" s="4"/>
      <c r="B279" s="67" t="s">
        <v>109</v>
      </c>
      <c r="C279" s="26"/>
      <c r="D279" s="26"/>
      <c r="E279" s="26"/>
      <c r="F279" s="26"/>
      <c r="G279" s="26"/>
      <c r="H279" s="26" t="s">
        <v>43</v>
      </c>
      <c r="I279" s="26"/>
      <c r="J279" s="102"/>
      <c r="K279" s="117"/>
      <c r="L279" s="117"/>
      <c r="M279" s="117"/>
    </row>
    <row r="280" spans="2:13" ht="14.25" customHeight="1">
      <c r="B280" s="10"/>
      <c r="C280" s="10"/>
      <c r="D280" s="10"/>
      <c r="E280" s="10"/>
      <c r="F280" s="10"/>
      <c r="G280" s="10"/>
      <c r="H280" s="10"/>
      <c r="I280" s="29"/>
      <c r="J280" s="29"/>
      <c r="K280" s="117"/>
      <c r="L280" s="117"/>
      <c r="M280" s="117"/>
    </row>
    <row r="281" spans="1:13" ht="18" customHeight="1">
      <c r="A281" s="4"/>
      <c r="B281" s="30" t="s">
        <v>829</v>
      </c>
      <c r="C281" s="19" t="s">
        <v>28</v>
      </c>
      <c r="D281" s="19"/>
      <c r="E281" s="19"/>
      <c r="F281" s="19"/>
      <c r="G281" s="31" t="s">
        <v>29</v>
      </c>
      <c r="H281" s="31"/>
      <c r="I281" s="32"/>
      <c r="J281" s="13"/>
      <c r="K281" s="117"/>
      <c r="L281" s="117"/>
      <c r="M281" s="117"/>
    </row>
    <row r="282" spans="1:13" ht="12.75">
      <c r="A282" s="4"/>
      <c r="B282" s="33" t="s">
        <v>32</v>
      </c>
      <c r="C282" s="23"/>
      <c r="D282" s="23" t="s">
        <v>33</v>
      </c>
      <c r="E282" s="23" t="s">
        <v>34</v>
      </c>
      <c r="F282" s="23" t="s">
        <v>35</v>
      </c>
      <c r="G282" s="33" t="s">
        <v>36</v>
      </c>
      <c r="H282" s="33" t="s">
        <v>37</v>
      </c>
      <c r="I282" s="33" t="s">
        <v>38</v>
      </c>
      <c r="J282" s="99" t="s">
        <v>39</v>
      </c>
      <c r="K282" s="117"/>
      <c r="L282" s="117"/>
      <c r="M282" s="117"/>
    </row>
    <row r="283" spans="1:13" ht="12.75">
      <c r="A283" s="4"/>
      <c r="B283" s="57" t="s">
        <v>621</v>
      </c>
      <c r="C283" s="35"/>
      <c r="D283" s="35"/>
      <c r="E283" s="35"/>
      <c r="F283" s="35"/>
      <c r="G283" s="34" t="s">
        <v>41</v>
      </c>
      <c r="H283" s="22"/>
      <c r="I283" s="22" t="s">
        <v>622</v>
      </c>
      <c r="J283" s="99"/>
      <c r="K283" s="117"/>
      <c r="L283" s="117" t="s">
        <v>86</v>
      </c>
      <c r="M283" s="117"/>
    </row>
    <row r="284" spans="1:13" ht="12.75">
      <c r="A284" s="4"/>
      <c r="B284" s="57" t="s">
        <v>624</v>
      </c>
      <c r="C284" s="35"/>
      <c r="D284" s="35"/>
      <c r="E284" s="35"/>
      <c r="F284" s="35"/>
      <c r="G284" s="34" t="s">
        <v>41</v>
      </c>
      <c r="H284" s="22"/>
      <c r="I284" s="22" t="s">
        <v>625</v>
      </c>
      <c r="J284" s="99"/>
      <c r="K284" s="117"/>
      <c r="L284" s="117" t="s">
        <v>86</v>
      </c>
      <c r="M284" s="117"/>
    </row>
    <row r="285" spans="1:13" ht="12.75">
      <c r="A285" s="4"/>
      <c r="B285" s="57" t="s">
        <v>626</v>
      </c>
      <c r="C285" s="35"/>
      <c r="D285" s="35"/>
      <c r="E285" s="35"/>
      <c r="F285" s="35"/>
      <c r="G285" s="34" t="s">
        <v>41</v>
      </c>
      <c r="H285" s="22"/>
      <c r="I285" s="22" t="s">
        <v>627</v>
      </c>
      <c r="J285" s="99"/>
      <c r="K285" s="117"/>
      <c r="L285" s="117" t="s">
        <v>86</v>
      </c>
      <c r="M285" s="117"/>
    </row>
    <row r="286" spans="2:13" ht="12.75">
      <c r="B286" s="10"/>
      <c r="C286" s="10"/>
      <c r="D286" s="10"/>
      <c r="E286" s="10"/>
      <c r="F286" s="10"/>
      <c r="G286" s="10"/>
      <c r="H286" s="10"/>
      <c r="I286" s="29"/>
      <c r="J286" s="11"/>
      <c r="K286" s="117"/>
      <c r="L286" s="117"/>
      <c r="M286" s="117"/>
    </row>
    <row r="287" spans="1:13" ht="12.75">
      <c r="A287" s="4"/>
      <c r="B287" s="30" t="s">
        <v>407</v>
      </c>
      <c r="C287" s="19" t="s">
        <v>28</v>
      </c>
      <c r="D287" s="19"/>
      <c r="E287" s="19"/>
      <c r="F287" s="19"/>
      <c r="G287" s="31" t="s">
        <v>29</v>
      </c>
      <c r="H287" s="31"/>
      <c r="I287" s="32"/>
      <c r="J287" s="13"/>
      <c r="K287" s="117"/>
      <c r="L287" s="117"/>
      <c r="M287" s="117"/>
    </row>
    <row r="288" spans="1:13" ht="12.75">
      <c r="A288" s="4"/>
      <c r="B288" s="33" t="s">
        <v>32</v>
      </c>
      <c r="C288" s="23"/>
      <c r="D288" s="23" t="s">
        <v>33</v>
      </c>
      <c r="E288" s="23" t="s">
        <v>34</v>
      </c>
      <c r="F288" s="23" t="s">
        <v>35</v>
      </c>
      <c r="G288" s="33" t="s">
        <v>36</v>
      </c>
      <c r="H288" s="33" t="s">
        <v>37</v>
      </c>
      <c r="I288" s="33" t="s">
        <v>38</v>
      </c>
      <c r="J288" s="99" t="s">
        <v>39</v>
      </c>
      <c r="K288" s="117"/>
      <c r="L288" s="117"/>
      <c r="M288" s="117"/>
    </row>
    <row r="289" spans="1:13" ht="12.75">
      <c r="A289" s="4"/>
      <c r="B289" s="67" t="s">
        <v>408</v>
      </c>
      <c r="C289" s="68"/>
      <c r="D289" s="68"/>
      <c r="E289" s="68"/>
      <c r="F289" s="68"/>
      <c r="G289" s="68"/>
      <c r="H289" s="68" t="s">
        <v>43</v>
      </c>
      <c r="I289" s="7"/>
      <c r="J289" s="108"/>
      <c r="K289" s="117"/>
      <c r="L289" s="117"/>
      <c r="M289" s="117"/>
    </row>
    <row r="290" spans="1:13" ht="12.75">
      <c r="A290" s="4"/>
      <c r="B290" s="57" t="s">
        <v>409</v>
      </c>
      <c r="C290" s="34"/>
      <c r="D290" s="35"/>
      <c r="E290" s="35"/>
      <c r="F290" s="35"/>
      <c r="G290" s="34" t="s">
        <v>41</v>
      </c>
      <c r="H290" s="34"/>
      <c r="I290" s="34" t="s">
        <v>410</v>
      </c>
      <c r="J290" s="99"/>
      <c r="K290" s="117"/>
      <c r="L290" s="117" t="s">
        <v>86</v>
      </c>
      <c r="M290" s="117"/>
    </row>
    <row r="291" spans="1:13" ht="12.75">
      <c r="A291" s="4"/>
      <c r="B291" s="67" t="s">
        <v>412</v>
      </c>
      <c r="C291" s="68"/>
      <c r="D291" s="68"/>
      <c r="E291" s="68"/>
      <c r="F291" s="68"/>
      <c r="G291" s="68"/>
      <c r="H291" s="68" t="s">
        <v>43</v>
      </c>
      <c r="I291" s="7"/>
      <c r="J291" s="108"/>
      <c r="K291" s="117"/>
      <c r="L291" s="117"/>
      <c r="M291" s="117"/>
    </row>
    <row r="292" spans="1:13" ht="12.75">
      <c r="A292" s="4"/>
      <c r="B292" s="57" t="s">
        <v>413</v>
      </c>
      <c r="C292" s="34"/>
      <c r="D292" s="35"/>
      <c r="E292" s="35"/>
      <c r="F292" s="35"/>
      <c r="G292" s="34" t="s">
        <v>41</v>
      </c>
      <c r="H292" s="34"/>
      <c r="I292" s="59">
        <f>HYPERLINK("NetworkAccessRecord!NA_usage_GSMLocation","GSMLocation")</f>
        <v>0</v>
      </c>
      <c r="J292" s="99"/>
      <c r="K292" s="117"/>
      <c r="L292" s="117" t="s">
        <v>86</v>
      </c>
      <c r="M292" s="117"/>
    </row>
    <row r="293" spans="1:13" ht="12.75">
      <c r="A293" s="4"/>
      <c r="B293" s="67" t="s">
        <v>415</v>
      </c>
      <c r="C293" s="68"/>
      <c r="D293" s="68"/>
      <c r="E293" s="68"/>
      <c r="F293" s="68"/>
      <c r="G293" s="68"/>
      <c r="H293" s="68" t="s">
        <v>43</v>
      </c>
      <c r="I293" s="7"/>
      <c r="J293" s="108"/>
      <c r="K293" s="117"/>
      <c r="L293" s="117"/>
      <c r="M293" s="117"/>
    </row>
    <row r="294" spans="1:13" ht="12.75">
      <c r="A294" s="4"/>
      <c r="B294" s="67" t="s">
        <v>416</v>
      </c>
      <c r="C294" s="68"/>
      <c r="D294" s="68"/>
      <c r="E294" s="68"/>
      <c r="F294" s="68"/>
      <c r="G294" s="68"/>
      <c r="H294" s="68" t="s">
        <v>43</v>
      </c>
      <c r="I294" s="7"/>
      <c r="J294" s="108"/>
      <c r="K294" s="117"/>
      <c r="L294" s="117"/>
      <c r="M294" s="117"/>
    </row>
    <row r="295" spans="1:13" ht="12.75">
      <c r="A295" s="4"/>
      <c r="B295" s="67" t="s">
        <v>417</v>
      </c>
      <c r="C295" s="68"/>
      <c r="D295" s="68"/>
      <c r="E295" s="68"/>
      <c r="F295" s="68"/>
      <c r="G295" s="68"/>
      <c r="H295" s="68" t="s">
        <v>43</v>
      </c>
      <c r="I295" s="7"/>
      <c r="J295" s="108"/>
      <c r="K295" s="117"/>
      <c r="L295" s="117"/>
      <c r="M295" s="117"/>
    </row>
    <row r="296" spans="1:13" ht="12.75">
      <c r="A296" s="4"/>
      <c r="B296" s="57" t="s">
        <v>418</v>
      </c>
      <c r="C296" s="34"/>
      <c r="D296" s="35"/>
      <c r="E296" s="35"/>
      <c r="F296" s="35"/>
      <c r="G296" s="34" t="s">
        <v>41</v>
      </c>
      <c r="H296" s="34"/>
      <c r="I296" s="59">
        <f>HYPERLINK("NetworkAccessRecord!NA_Usage_PostalLocation_AddressInformation","AddressInformation")</f>
        <v>0</v>
      </c>
      <c r="J296" s="99"/>
      <c r="K296" s="117"/>
      <c r="L296" s="117" t="s">
        <v>86</v>
      </c>
      <c r="M296" s="117"/>
    </row>
    <row r="297" spans="1:13" ht="12.75">
      <c r="A297" s="4"/>
      <c r="B297" s="67" t="s">
        <v>420</v>
      </c>
      <c r="C297" s="68"/>
      <c r="D297" s="68"/>
      <c r="E297" s="68"/>
      <c r="F297" s="68"/>
      <c r="G297" s="68"/>
      <c r="H297" s="68" t="s">
        <v>43</v>
      </c>
      <c r="I297" s="7"/>
      <c r="J297" s="108"/>
      <c r="K297" s="117"/>
      <c r="L297" s="117"/>
      <c r="M297" s="117"/>
    </row>
    <row r="298" spans="2:13" ht="14.25" customHeight="1">
      <c r="B298" s="10"/>
      <c r="C298" s="10"/>
      <c r="D298" s="10"/>
      <c r="E298" s="10"/>
      <c r="F298" s="10"/>
      <c r="G298" s="10"/>
      <c r="H298" s="10"/>
      <c r="I298" s="29"/>
      <c r="J298" s="29"/>
      <c r="K298" s="117"/>
      <c r="L298" s="117"/>
      <c r="M298" s="117"/>
    </row>
    <row r="299" spans="1:13" ht="12.75">
      <c r="A299" s="4"/>
      <c r="B299" s="30" t="s">
        <v>421</v>
      </c>
      <c r="C299" s="19" t="s">
        <v>28</v>
      </c>
      <c r="D299" s="19"/>
      <c r="E299" s="19"/>
      <c r="F299" s="19"/>
      <c r="G299" s="31" t="s">
        <v>29</v>
      </c>
      <c r="H299" s="31"/>
      <c r="I299" s="32"/>
      <c r="J299" s="13"/>
      <c r="K299" s="117"/>
      <c r="L299" s="117"/>
      <c r="M299" s="117"/>
    </row>
    <row r="300" spans="1:13" ht="12.75">
      <c r="A300" s="4"/>
      <c r="B300" s="33" t="s">
        <v>32</v>
      </c>
      <c r="C300" s="23"/>
      <c r="D300" s="23" t="s">
        <v>33</v>
      </c>
      <c r="E300" s="23" t="s">
        <v>34</v>
      </c>
      <c r="F300" s="23" t="s">
        <v>35</v>
      </c>
      <c r="G300" s="33" t="s">
        <v>36</v>
      </c>
      <c r="H300" s="33" t="s">
        <v>37</v>
      </c>
      <c r="I300" s="33" t="s">
        <v>38</v>
      </c>
      <c r="J300" s="99" t="s">
        <v>39</v>
      </c>
      <c r="K300" s="117"/>
      <c r="L300" s="117"/>
      <c r="M300" s="117"/>
    </row>
    <row r="301" spans="1:13" ht="12.75">
      <c r="A301" s="4"/>
      <c r="B301" s="57" t="s">
        <v>422</v>
      </c>
      <c r="C301" s="35"/>
      <c r="D301" s="35"/>
      <c r="E301" s="35"/>
      <c r="F301" s="35"/>
      <c r="G301" s="34" t="s">
        <v>41</v>
      </c>
      <c r="H301" s="34"/>
      <c r="I301" s="59">
        <f>HYPERLINK("NetworkAccessRecord!NA_Usage_geoCoordinates","geoCoordinates")</f>
        <v>0</v>
      </c>
      <c r="J301" s="99"/>
      <c r="K301" s="117"/>
      <c r="L301" s="117" t="s">
        <v>423</v>
      </c>
      <c r="M301" s="117"/>
    </row>
    <row r="302" spans="1:13" ht="12.75">
      <c r="A302" s="4"/>
      <c r="B302" s="67" t="s">
        <v>424</v>
      </c>
      <c r="C302" s="68"/>
      <c r="D302" s="68"/>
      <c r="E302" s="68"/>
      <c r="F302" s="68"/>
      <c r="G302" s="68"/>
      <c r="H302" s="68" t="s">
        <v>43</v>
      </c>
      <c r="I302" s="7"/>
      <c r="J302" s="108"/>
      <c r="K302" s="117"/>
      <c r="L302" s="117"/>
      <c r="M302" s="117"/>
    </row>
    <row r="303" spans="1:13" ht="12.75">
      <c r="A303" s="4"/>
      <c r="B303" s="67" t="s">
        <v>425</v>
      </c>
      <c r="C303" s="68"/>
      <c r="D303" s="68"/>
      <c r="E303" s="68"/>
      <c r="F303" s="68"/>
      <c r="G303" s="68"/>
      <c r="H303" s="68" t="s">
        <v>43</v>
      </c>
      <c r="I303" s="7"/>
      <c r="J303" s="108"/>
      <c r="K303" s="117"/>
      <c r="L303" s="117"/>
      <c r="M303" s="117"/>
    </row>
    <row r="304" spans="1:13" ht="26.25">
      <c r="A304" s="4"/>
      <c r="B304" s="57" t="s">
        <v>426</v>
      </c>
      <c r="C304" s="34"/>
      <c r="D304" s="35"/>
      <c r="E304" s="35"/>
      <c r="F304" s="35"/>
      <c r="G304" s="34" t="s">
        <v>41</v>
      </c>
      <c r="H304" s="34"/>
      <c r="I304" s="24" t="s">
        <v>427</v>
      </c>
      <c r="J304" s="99"/>
      <c r="K304" s="117"/>
      <c r="L304" s="117" t="s">
        <v>86</v>
      </c>
      <c r="M304" s="117"/>
    </row>
    <row r="305" spans="1:13" ht="12.75">
      <c r="A305" s="4"/>
      <c r="B305" s="67" t="s">
        <v>428</v>
      </c>
      <c r="C305" s="68"/>
      <c r="D305" s="68"/>
      <c r="E305" s="68"/>
      <c r="F305" s="68"/>
      <c r="G305" s="68"/>
      <c r="H305" s="68" t="s">
        <v>43</v>
      </c>
      <c r="I305" s="7"/>
      <c r="J305" s="108"/>
      <c r="K305" s="117"/>
      <c r="L305" s="117"/>
      <c r="M305" s="117"/>
    </row>
    <row r="306" spans="2:13" ht="14.25" customHeight="1">
      <c r="B306" s="10"/>
      <c r="C306" s="10"/>
      <c r="D306" s="10"/>
      <c r="E306" s="10"/>
      <c r="F306" s="10"/>
      <c r="G306" s="10"/>
      <c r="H306" s="10"/>
      <c r="I306" s="29"/>
      <c r="J306" s="29"/>
      <c r="K306" s="117"/>
      <c r="L306" s="117"/>
      <c r="M306" s="117"/>
    </row>
    <row r="307" spans="1:13" ht="12.75">
      <c r="A307" s="4"/>
      <c r="B307" s="30" t="s">
        <v>429</v>
      </c>
      <c r="C307" s="19" t="s">
        <v>28</v>
      </c>
      <c r="D307" s="19"/>
      <c r="E307" s="19"/>
      <c r="F307" s="19"/>
      <c r="G307" s="31" t="s">
        <v>29</v>
      </c>
      <c r="H307" s="31"/>
      <c r="I307" s="32"/>
      <c r="J307" s="13"/>
      <c r="K307" s="117"/>
      <c r="L307" s="117"/>
      <c r="M307" s="117"/>
    </row>
    <row r="308" spans="1:13" ht="12.75">
      <c r="A308" s="4"/>
      <c r="B308" s="33" t="s">
        <v>32</v>
      </c>
      <c r="C308" s="23"/>
      <c r="D308" s="23" t="s">
        <v>33</v>
      </c>
      <c r="E308" s="23" t="s">
        <v>34</v>
      </c>
      <c r="F308" s="23" t="s">
        <v>35</v>
      </c>
      <c r="G308" s="33" t="s">
        <v>36</v>
      </c>
      <c r="H308" s="33" t="s">
        <v>37</v>
      </c>
      <c r="I308" s="33" t="s">
        <v>38</v>
      </c>
      <c r="J308" s="99" t="s">
        <v>39</v>
      </c>
      <c r="K308" s="117"/>
      <c r="L308" s="117"/>
      <c r="M308" s="117"/>
    </row>
    <row r="309" spans="1:13" ht="12.75">
      <c r="A309" s="4"/>
      <c r="B309" s="57" t="s">
        <v>430</v>
      </c>
      <c r="C309" s="35"/>
      <c r="D309" s="35"/>
      <c r="E309" s="35"/>
      <c r="F309" s="35"/>
      <c r="G309" s="34" t="s">
        <v>41</v>
      </c>
      <c r="H309" s="22"/>
      <c r="I309" s="22"/>
      <c r="J309" s="99"/>
      <c r="K309" s="117"/>
      <c r="L309" s="117" t="s">
        <v>86</v>
      </c>
      <c r="M309" s="117"/>
    </row>
    <row r="310" spans="1:13" ht="12.75">
      <c r="A310" s="4"/>
      <c r="B310" s="57" t="s">
        <v>432</v>
      </c>
      <c r="C310" s="35"/>
      <c r="D310" s="35"/>
      <c r="E310" s="35"/>
      <c r="F310" s="35"/>
      <c r="G310" s="34" t="s">
        <v>41</v>
      </c>
      <c r="H310" s="22"/>
      <c r="I310" s="22"/>
      <c r="J310" s="99"/>
      <c r="K310" s="117"/>
      <c r="L310" s="117" t="s">
        <v>86</v>
      </c>
      <c r="M310" s="117"/>
    </row>
    <row r="311" spans="1:13" ht="12.75">
      <c r="A311" s="4"/>
      <c r="B311" s="57" t="s">
        <v>434</v>
      </c>
      <c r="C311" s="35"/>
      <c r="D311" s="35"/>
      <c r="E311" s="35"/>
      <c r="F311" s="35"/>
      <c r="G311" s="34" t="s">
        <v>41</v>
      </c>
      <c r="H311" s="22"/>
      <c r="I311" s="59">
        <f>HYPERLINK("NetworkAccessRecord!NA_Usage_mapDatum","MapDatum")</f>
        <v>0</v>
      </c>
      <c r="J311" s="99"/>
      <c r="K311" s="117"/>
      <c r="L311" s="117" t="s">
        <v>435</v>
      </c>
      <c r="M311" s="117"/>
    </row>
    <row r="312" spans="1:13" ht="12.75">
      <c r="A312" s="4"/>
      <c r="B312" s="57" t="s">
        <v>436</v>
      </c>
      <c r="C312" s="35"/>
      <c r="D312" s="35"/>
      <c r="E312" s="35"/>
      <c r="F312" s="35"/>
      <c r="G312" s="34" t="s">
        <v>41</v>
      </c>
      <c r="H312" s="22"/>
      <c r="I312" s="22" t="s">
        <v>437</v>
      </c>
      <c r="J312" s="99"/>
      <c r="K312" s="117"/>
      <c r="L312" s="117" t="s">
        <v>86</v>
      </c>
      <c r="M312" s="117"/>
    </row>
    <row r="313" spans="2:13" ht="14.25" customHeight="1">
      <c r="B313" s="10"/>
      <c r="C313" s="10"/>
      <c r="D313" s="10"/>
      <c r="E313" s="10"/>
      <c r="F313" s="10"/>
      <c r="G313" s="10"/>
      <c r="H313" s="10"/>
      <c r="I313" s="29"/>
      <c r="J313" s="29"/>
      <c r="K313" s="117"/>
      <c r="L313" s="117"/>
      <c r="M313" s="117"/>
    </row>
    <row r="314" spans="1:13" ht="12.75">
      <c r="A314" s="4"/>
      <c r="B314" s="30" t="s">
        <v>438</v>
      </c>
      <c r="C314" s="19" t="s">
        <v>28</v>
      </c>
      <c r="D314" s="19"/>
      <c r="E314" s="19"/>
      <c r="F314" s="19"/>
      <c r="G314" s="31" t="s">
        <v>29</v>
      </c>
      <c r="H314" s="31"/>
      <c r="I314" s="32"/>
      <c r="J314" s="13"/>
      <c r="K314" s="117"/>
      <c r="L314" s="117"/>
      <c r="M314" s="117"/>
    </row>
    <row r="315" spans="1:13" ht="12.75">
      <c r="A315" s="4"/>
      <c r="B315" s="33" t="s">
        <v>32</v>
      </c>
      <c r="C315" s="23"/>
      <c r="D315" s="23" t="s">
        <v>33</v>
      </c>
      <c r="E315" s="23" t="s">
        <v>34</v>
      </c>
      <c r="F315" s="23" t="s">
        <v>35</v>
      </c>
      <c r="G315" s="33" t="s">
        <v>36</v>
      </c>
      <c r="H315" s="33" t="s">
        <v>37</v>
      </c>
      <c r="I315" s="33" t="s">
        <v>38</v>
      </c>
      <c r="J315" s="99" t="s">
        <v>39</v>
      </c>
      <c r="K315" s="117"/>
      <c r="L315" s="117"/>
      <c r="M315" s="117"/>
    </row>
    <row r="316" spans="1:13" ht="12.75">
      <c r="A316" s="4"/>
      <c r="B316" s="57" t="s">
        <v>439</v>
      </c>
      <c r="C316" s="35"/>
      <c r="D316" s="35"/>
      <c r="E316" s="35"/>
      <c r="F316" s="35"/>
      <c r="G316" s="34" t="s">
        <v>41</v>
      </c>
      <c r="H316" s="22"/>
      <c r="I316" s="22"/>
      <c r="J316" s="99"/>
      <c r="K316" s="117"/>
      <c r="L316" s="117" t="s">
        <v>86</v>
      </c>
      <c r="M316" s="117"/>
    </row>
    <row r="317" spans="1:13" ht="12.75">
      <c r="A317" s="4"/>
      <c r="B317" s="67" t="s">
        <v>441</v>
      </c>
      <c r="C317" s="68"/>
      <c r="D317" s="68"/>
      <c r="E317" s="68"/>
      <c r="F317" s="68"/>
      <c r="G317" s="68"/>
      <c r="H317" s="68" t="s">
        <v>43</v>
      </c>
      <c r="I317" s="7"/>
      <c r="J317" s="108"/>
      <c r="K317" s="117"/>
      <c r="L317" s="117"/>
      <c r="M317" s="117"/>
    </row>
    <row r="318" spans="1:13" ht="12.75">
      <c r="A318" s="4"/>
      <c r="B318" s="67" t="s">
        <v>442</v>
      </c>
      <c r="C318" s="68"/>
      <c r="D318" s="68"/>
      <c r="E318" s="68"/>
      <c r="F318" s="68"/>
      <c r="G318" s="68"/>
      <c r="H318" s="68" t="s">
        <v>43</v>
      </c>
      <c r="I318" s="7"/>
      <c r="J318" s="108"/>
      <c r="K318" s="117"/>
      <c r="L318" s="117"/>
      <c r="M318" s="117"/>
    </row>
    <row r="319" spans="1:13" ht="12.75">
      <c r="A319" s="4"/>
      <c r="B319" s="67" t="s">
        <v>443</v>
      </c>
      <c r="C319" s="68"/>
      <c r="D319" s="68"/>
      <c r="E319" s="68"/>
      <c r="F319" s="68"/>
      <c r="G319" s="68"/>
      <c r="H319" s="68" t="s">
        <v>43</v>
      </c>
      <c r="I319" s="7"/>
      <c r="J319" s="108"/>
      <c r="K319" s="117"/>
      <c r="L319" s="117"/>
      <c r="M319" s="117"/>
    </row>
    <row r="320" spans="1:13" ht="12.75">
      <c r="A320" s="4"/>
      <c r="B320" s="67" t="s">
        <v>444</v>
      </c>
      <c r="C320" s="68"/>
      <c r="D320" s="68"/>
      <c r="E320" s="68"/>
      <c r="F320" s="68"/>
      <c r="G320" s="68"/>
      <c r="H320" s="68" t="s">
        <v>43</v>
      </c>
      <c r="I320" s="7"/>
      <c r="J320" s="108"/>
      <c r="K320" s="117"/>
      <c r="L320" s="117"/>
      <c r="M320" s="117"/>
    </row>
    <row r="321" spans="1:13" ht="12.75">
      <c r="A321" s="4"/>
      <c r="B321" s="67" t="s">
        <v>445</v>
      </c>
      <c r="C321" s="68"/>
      <c r="D321" s="68"/>
      <c r="E321" s="68"/>
      <c r="F321" s="68"/>
      <c r="G321" s="68"/>
      <c r="H321" s="68" t="s">
        <v>43</v>
      </c>
      <c r="I321" s="7"/>
      <c r="J321" s="108"/>
      <c r="K321" s="117"/>
      <c r="L321" s="117"/>
      <c r="M321" s="117"/>
    </row>
    <row r="322" spans="1:13" ht="12.75">
      <c r="A322" s="4"/>
      <c r="B322" s="67" t="s">
        <v>446</v>
      </c>
      <c r="C322" s="68"/>
      <c r="D322" s="68"/>
      <c r="E322" s="68"/>
      <c r="F322" s="68"/>
      <c r="G322" s="68"/>
      <c r="H322" s="68" t="s">
        <v>43</v>
      </c>
      <c r="I322" s="7"/>
      <c r="J322" s="108"/>
      <c r="K322" s="117"/>
      <c r="L322" s="117"/>
      <c r="M322" s="117"/>
    </row>
    <row r="323" spans="1:13" ht="12.75">
      <c r="A323" s="4"/>
      <c r="B323" s="67" t="s">
        <v>447</v>
      </c>
      <c r="C323" s="68"/>
      <c r="D323" s="68"/>
      <c r="E323" s="68"/>
      <c r="F323" s="68"/>
      <c r="G323" s="68"/>
      <c r="H323" s="68" t="s">
        <v>43</v>
      </c>
      <c r="I323" s="7"/>
      <c r="J323" s="108"/>
      <c r="K323" s="117"/>
      <c r="L323" s="117"/>
      <c r="M323" s="117"/>
    </row>
    <row r="324" spans="1:13" ht="12.75">
      <c r="A324" s="4"/>
      <c r="B324" s="67" t="s">
        <v>448</v>
      </c>
      <c r="C324" s="68"/>
      <c r="D324" s="68"/>
      <c r="E324" s="68"/>
      <c r="F324" s="68"/>
      <c r="G324" s="68"/>
      <c r="H324" s="68" t="s">
        <v>43</v>
      </c>
      <c r="I324" s="7"/>
      <c r="J324" s="108"/>
      <c r="K324" s="117"/>
      <c r="L324" s="117"/>
      <c r="M324" s="117"/>
    </row>
    <row r="325" spans="1:13" ht="12.75">
      <c r="A325" s="4"/>
      <c r="B325" s="67" t="s">
        <v>449</v>
      </c>
      <c r="C325" s="68"/>
      <c r="D325" s="68"/>
      <c r="E325" s="68"/>
      <c r="F325" s="68"/>
      <c r="G325" s="68"/>
      <c r="H325" s="68" t="s">
        <v>43</v>
      </c>
      <c r="I325" s="7"/>
      <c r="J325" s="108"/>
      <c r="K325" s="117"/>
      <c r="L325" s="117"/>
      <c r="M325" s="117"/>
    </row>
    <row r="326" spans="1:13" ht="12.75">
      <c r="A326" s="4"/>
      <c r="B326" s="67" t="s">
        <v>450</v>
      </c>
      <c r="C326" s="68"/>
      <c r="D326" s="68"/>
      <c r="E326" s="68"/>
      <c r="F326" s="68"/>
      <c r="G326" s="68"/>
      <c r="H326" s="68" t="s">
        <v>43</v>
      </c>
      <c r="I326" s="7"/>
      <c r="J326" s="108"/>
      <c r="K326" s="117"/>
      <c r="L326" s="117"/>
      <c r="M326" s="117"/>
    </row>
    <row r="327" spans="1:13" ht="12.75">
      <c r="A327" s="4"/>
      <c r="B327" s="67" t="s">
        <v>451</v>
      </c>
      <c r="C327" s="68"/>
      <c r="D327" s="68"/>
      <c r="E327" s="68"/>
      <c r="F327" s="68"/>
      <c r="G327" s="68"/>
      <c r="H327" s="68" t="s">
        <v>43</v>
      </c>
      <c r="I327" s="7"/>
      <c r="J327" s="108"/>
      <c r="K327" s="117"/>
      <c r="L327" s="117"/>
      <c r="M327" s="117"/>
    </row>
    <row r="328" spans="1:13" ht="12.75">
      <c r="A328" s="4"/>
      <c r="B328" s="57" t="s">
        <v>452</v>
      </c>
      <c r="C328" s="34"/>
      <c r="D328" s="35"/>
      <c r="E328" s="35"/>
      <c r="F328" s="35"/>
      <c r="G328" s="34" t="s">
        <v>41</v>
      </c>
      <c r="H328" s="22"/>
      <c r="I328" s="22"/>
      <c r="J328" s="99"/>
      <c r="K328" s="117"/>
      <c r="L328" s="117" t="s">
        <v>86</v>
      </c>
      <c r="M328" s="117"/>
    </row>
    <row r="329" spans="2:13" ht="14.25" customHeight="1">
      <c r="B329" s="10"/>
      <c r="C329" s="10"/>
      <c r="D329" s="10"/>
      <c r="E329" s="10"/>
      <c r="F329" s="10"/>
      <c r="G329" s="10"/>
      <c r="H329" s="10"/>
      <c r="I329" s="29"/>
      <c r="J329" s="29"/>
      <c r="K329" s="117"/>
      <c r="L329" s="117"/>
      <c r="M329" s="117"/>
    </row>
    <row r="330" spans="1:13" ht="12.75">
      <c r="A330" s="4"/>
      <c r="B330" s="30" t="s">
        <v>994</v>
      </c>
      <c r="C330" s="19" t="s">
        <v>28</v>
      </c>
      <c r="D330" s="19"/>
      <c r="E330" s="19"/>
      <c r="F330" s="19"/>
      <c r="G330" s="31" t="s">
        <v>29</v>
      </c>
      <c r="H330" s="31"/>
      <c r="I330" s="32"/>
      <c r="J330" s="13"/>
      <c r="K330" s="117"/>
      <c r="L330" s="117"/>
      <c r="M330" s="117"/>
    </row>
    <row r="331" spans="1:13" ht="12.75">
      <c r="A331" s="4"/>
      <c r="B331" s="33" t="s">
        <v>32</v>
      </c>
      <c r="C331" s="23"/>
      <c r="D331" s="23" t="s">
        <v>33</v>
      </c>
      <c r="E331" s="23" t="s">
        <v>34</v>
      </c>
      <c r="F331" s="23" t="s">
        <v>35</v>
      </c>
      <c r="G331" s="33" t="s">
        <v>36</v>
      </c>
      <c r="H331" s="33" t="s">
        <v>37</v>
      </c>
      <c r="I331" s="33" t="s">
        <v>38</v>
      </c>
      <c r="J331" s="99" t="s">
        <v>39</v>
      </c>
      <c r="K331" s="117"/>
      <c r="L331" s="117"/>
      <c r="M331" s="117"/>
    </row>
    <row r="332" spans="1:13" ht="12.75">
      <c r="A332" s="4"/>
      <c r="B332" s="57" t="s">
        <v>84</v>
      </c>
      <c r="C332" s="35"/>
      <c r="D332" s="35"/>
      <c r="E332" s="35"/>
      <c r="F332" s="35"/>
      <c r="G332" s="34" t="s">
        <v>41</v>
      </c>
      <c r="H332" s="22"/>
      <c r="I332" s="22"/>
      <c r="J332" s="99"/>
      <c r="K332" s="117"/>
      <c r="L332" s="118">
        <v>2</v>
      </c>
      <c r="M332" s="117"/>
    </row>
    <row r="333" spans="1:13" ht="12.75">
      <c r="A333" s="4"/>
      <c r="B333" s="57" t="s">
        <v>85</v>
      </c>
      <c r="C333" s="35"/>
      <c r="D333" s="35"/>
      <c r="E333" s="35"/>
      <c r="F333" s="35"/>
      <c r="G333" s="34" t="s">
        <v>41</v>
      </c>
      <c r="H333" s="22"/>
      <c r="I333" s="22"/>
      <c r="J333" s="99"/>
      <c r="K333" s="117"/>
      <c r="L333" s="117" t="s">
        <v>86</v>
      </c>
      <c r="M333" s="117"/>
    </row>
    <row r="334" spans="1:13" ht="12.75">
      <c r="A334" s="4"/>
      <c r="B334" s="57" t="s">
        <v>87</v>
      </c>
      <c r="C334" s="35"/>
      <c r="D334" s="35"/>
      <c r="E334" s="35"/>
      <c r="F334" s="35"/>
      <c r="G334" s="34" t="s">
        <v>41</v>
      </c>
      <c r="H334" s="22"/>
      <c r="I334" s="22"/>
      <c r="J334" s="99"/>
      <c r="K334" s="117"/>
      <c r="L334" s="117" t="s">
        <v>88</v>
      </c>
      <c r="M334" s="117"/>
    </row>
    <row r="335" spans="1:13" ht="12.75">
      <c r="A335" s="4"/>
      <c r="B335" s="57" t="s">
        <v>89</v>
      </c>
      <c r="C335" s="35"/>
      <c r="D335" s="35"/>
      <c r="E335" s="35"/>
      <c r="F335" s="35"/>
      <c r="G335" s="34" t="s">
        <v>41</v>
      </c>
      <c r="H335" s="22"/>
      <c r="I335" s="22"/>
      <c r="J335" s="99"/>
      <c r="K335" s="117"/>
      <c r="L335" s="117" t="s">
        <v>90</v>
      </c>
      <c r="M335" s="117"/>
    </row>
    <row r="336" spans="1:13" ht="12.75">
      <c r="A336" s="4"/>
      <c r="B336" s="57" t="s">
        <v>91</v>
      </c>
      <c r="C336" s="35"/>
      <c r="D336" s="35"/>
      <c r="E336" s="35"/>
      <c r="F336" s="35"/>
      <c r="G336" s="34" t="s">
        <v>41</v>
      </c>
      <c r="H336" s="22"/>
      <c r="I336" s="22"/>
      <c r="J336" s="99"/>
      <c r="K336" s="117"/>
      <c r="L336" s="117" t="s">
        <v>92</v>
      </c>
      <c r="M336" s="117"/>
    </row>
    <row r="337" spans="1:13" ht="12.75">
      <c r="A337" s="4"/>
      <c r="B337" s="57" t="s">
        <v>93</v>
      </c>
      <c r="C337" s="35"/>
      <c r="D337" s="35"/>
      <c r="E337" s="35"/>
      <c r="F337" s="35"/>
      <c r="G337" s="34" t="s">
        <v>41</v>
      </c>
      <c r="H337" s="22"/>
      <c r="I337" s="22" t="s">
        <v>94</v>
      </c>
      <c r="J337" s="99"/>
      <c r="K337" s="117"/>
      <c r="L337" s="118">
        <v>8045</v>
      </c>
      <c r="M337" s="117"/>
    </row>
    <row r="338" spans="1:13" ht="12.75">
      <c r="A338" s="4"/>
      <c r="B338" s="67" t="s">
        <v>95</v>
      </c>
      <c r="C338" s="68"/>
      <c r="D338" s="68"/>
      <c r="E338" s="68"/>
      <c r="F338" s="68"/>
      <c r="G338" s="68"/>
      <c r="H338" s="7" t="s">
        <v>43</v>
      </c>
      <c r="I338" s="7"/>
      <c r="J338" s="108"/>
      <c r="K338" s="117"/>
      <c r="L338" s="117"/>
      <c r="M338" s="117"/>
    </row>
    <row r="339" spans="1:13" ht="27" customHeight="1">
      <c r="A339" s="4"/>
      <c r="B339" s="57" t="s">
        <v>96</v>
      </c>
      <c r="C339" s="34"/>
      <c r="D339" s="35"/>
      <c r="E339" s="35"/>
      <c r="F339" s="35"/>
      <c r="G339" s="34" t="s">
        <v>41</v>
      </c>
      <c r="H339" s="22"/>
      <c r="I339" s="18" t="s">
        <v>97</v>
      </c>
      <c r="J339" s="99"/>
      <c r="K339" s="117"/>
      <c r="L339" s="117" t="s">
        <v>98</v>
      </c>
      <c r="M339" s="117"/>
    </row>
    <row r="340" spans="1:13" ht="12.75">
      <c r="A340" s="4"/>
      <c r="B340" s="67" t="s">
        <v>99</v>
      </c>
      <c r="C340" s="68"/>
      <c r="D340" s="68"/>
      <c r="E340" s="68"/>
      <c r="F340" s="68"/>
      <c r="G340" s="68"/>
      <c r="H340" s="7" t="s">
        <v>43</v>
      </c>
      <c r="I340" s="7"/>
      <c r="J340" s="108"/>
      <c r="K340" s="117"/>
      <c r="L340" s="117"/>
      <c r="M340" s="117"/>
    </row>
    <row r="341" spans="1:13" ht="12.75">
      <c r="A341" s="4"/>
      <c r="B341" s="57" t="s">
        <v>100</v>
      </c>
      <c r="C341" s="34"/>
      <c r="D341" s="35"/>
      <c r="E341" s="35"/>
      <c r="F341" s="35"/>
      <c r="G341" s="34" t="s">
        <v>41</v>
      </c>
      <c r="H341" s="22"/>
      <c r="I341" s="22"/>
      <c r="J341" s="99"/>
      <c r="K341" s="117"/>
      <c r="L341" s="117" t="s">
        <v>101</v>
      </c>
      <c r="M341" s="117"/>
    </row>
    <row r="342" spans="1:13" ht="12.75">
      <c r="A342" s="4"/>
      <c r="B342" s="57" t="s">
        <v>102</v>
      </c>
      <c r="C342" s="34"/>
      <c r="D342" s="35"/>
      <c r="E342" s="35"/>
      <c r="F342" s="35"/>
      <c r="G342" s="34" t="s">
        <v>41</v>
      </c>
      <c r="H342" s="22"/>
      <c r="I342" s="22"/>
      <c r="J342" s="99"/>
      <c r="K342" s="117"/>
      <c r="L342" s="117" t="s">
        <v>103</v>
      </c>
      <c r="M342" s="117"/>
    </row>
    <row r="343" spans="1:13" ht="12.75">
      <c r="A343" s="4"/>
      <c r="B343" s="67" t="s">
        <v>151</v>
      </c>
      <c r="C343" s="68"/>
      <c r="D343" s="68"/>
      <c r="E343" s="68"/>
      <c r="F343" s="68"/>
      <c r="G343" s="68"/>
      <c r="H343" s="21" t="s">
        <v>43</v>
      </c>
      <c r="I343" s="26"/>
      <c r="J343" s="108"/>
      <c r="K343" s="117"/>
      <c r="L343" s="117"/>
      <c r="M343" s="117"/>
    </row>
    <row r="344" spans="2:13" ht="14.25" customHeight="1">
      <c r="B344" s="10"/>
      <c r="C344" s="10"/>
      <c r="D344" s="10"/>
      <c r="E344" s="10"/>
      <c r="F344" s="10"/>
      <c r="G344" s="10"/>
      <c r="H344" s="10"/>
      <c r="I344" s="29"/>
      <c r="J344" s="29"/>
      <c r="K344" s="117"/>
      <c r="L344" s="117"/>
      <c r="M344" s="117"/>
    </row>
    <row r="345" spans="1:13" ht="12.75">
      <c r="A345" s="4"/>
      <c r="B345" s="30" t="s">
        <v>995</v>
      </c>
      <c r="C345" s="19" t="s">
        <v>28</v>
      </c>
      <c r="D345" s="19"/>
      <c r="E345" s="19"/>
      <c r="F345" s="19"/>
      <c r="G345" s="31" t="s">
        <v>29</v>
      </c>
      <c r="H345" s="31"/>
      <c r="I345" s="32"/>
      <c r="J345" s="13"/>
      <c r="K345" s="117"/>
      <c r="L345" s="117"/>
      <c r="M345" s="117"/>
    </row>
    <row r="346" spans="1:13" ht="12.75">
      <c r="A346" s="4"/>
      <c r="B346" s="33" t="s">
        <v>32</v>
      </c>
      <c r="C346" s="23"/>
      <c r="D346" s="23" t="s">
        <v>33</v>
      </c>
      <c r="E346" s="23" t="s">
        <v>34</v>
      </c>
      <c r="F346" s="23" t="s">
        <v>35</v>
      </c>
      <c r="G346" s="33" t="s">
        <v>36</v>
      </c>
      <c r="H346" s="33" t="s">
        <v>37</v>
      </c>
      <c r="I346" s="33" t="s">
        <v>38</v>
      </c>
      <c r="J346" s="99" t="s">
        <v>39</v>
      </c>
      <c r="K346" s="117"/>
      <c r="L346" s="117"/>
      <c r="M346" s="117"/>
    </row>
    <row r="347" spans="1:13" ht="42.75" customHeight="1">
      <c r="A347" s="4"/>
      <c r="B347" s="57" t="s">
        <v>996</v>
      </c>
      <c r="C347" s="35"/>
      <c r="D347" s="35"/>
      <c r="E347" s="35"/>
      <c r="F347" s="35"/>
      <c r="G347" s="34" t="s">
        <v>41</v>
      </c>
      <c r="H347" s="22"/>
      <c r="I347" s="89" t="s">
        <v>997</v>
      </c>
      <c r="J347" s="99"/>
      <c r="K347" s="117"/>
      <c r="L347" s="117" t="s">
        <v>86</v>
      </c>
      <c r="M347" s="117"/>
    </row>
    <row r="348" spans="1:13" ht="13.5">
      <c r="A348" s="4"/>
      <c r="B348" s="57" t="s">
        <v>998</v>
      </c>
      <c r="C348" s="35"/>
      <c r="D348" s="35"/>
      <c r="E348" s="35"/>
      <c r="F348" s="35"/>
      <c r="G348" s="34" t="s">
        <v>41</v>
      </c>
      <c r="H348" s="22"/>
      <c r="I348" s="89" t="s">
        <v>323</v>
      </c>
      <c r="J348" s="99"/>
      <c r="K348" s="117"/>
      <c r="L348" s="117" t="s">
        <v>86</v>
      </c>
      <c r="M348" s="117"/>
    </row>
    <row r="349" spans="1:13" ht="42.75" customHeight="1">
      <c r="A349" s="4"/>
      <c r="B349" s="57" t="s">
        <v>999</v>
      </c>
      <c r="C349" s="35"/>
      <c r="D349" s="35"/>
      <c r="E349" s="35"/>
      <c r="F349" s="35"/>
      <c r="G349" s="34" t="s">
        <v>41</v>
      </c>
      <c r="H349" s="22"/>
      <c r="I349" s="89" t="s">
        <v>1000</v>
      </c>
      <c r="J349" s="99"/>
      <c r="K349" s="117"/>
      <c r="L349" s="117" t="s">
        <v>86</v>
      </c>
      <c r="M349" s="117"/>
    </row>
    <row r="350" spans="2:13" ht="14.25" customHeight="1">
      <c r="B350" s="10"/>
      <c r="C350" s="10"/>
      <c r="D350" s="10"/>
      <c r="E350" s="10"/>
      <c r="F350" s="10"/>
      <c r="G350" s="10"/>
      <c r="H350" s="10"/>
      <c r="I350" s="29"/>
      <c r="J350" s="29"/>
      <c r="K350" s="117"/>
      <c r="L350" s="117"/>
      <c r="M350" s="117"/>
    </row>
    <row r="351" spans="1:13" ht="12.75">
      <c r="A351" s="4"/>
      <c r="B351" s="30" t="s">
        <v>1001</v>
      </c>
      <c r="C351" s="19" t="s">
        <v>28</v>
      </c>
      <c r="D351" s="19"/>
      <c r="E351" s="19"/>
      <c r="F351" s="19"/>
      <c r="G351" s="31" t="s">
        <v>29</v>
      </c>
      <c r="H351" s="31"/>
      <c r="I351" s="32"/>
      <c r="J351" s="13"/>
      <c r="K351" s="117"/>
      <c r="L351" s="117"/>
      <c r="M351" s="117"/>
    </row>
    <row r="352" spans="1:13" ht="12.75">
      <c r="A352" s="4"/>
      <c r="B352" s="33" t="s">
        <v>32</v>
      </c>
      <c r="C352" s="23"/>
      <c r="D352" s="23" t="s">
        <v>33</v>
      </c>
      <c r="E352" s="23" t="s">
        <v>34</v>
      </c>
      <c r="F352" s="23" t="s">
        <v>35</v>
      </c>
      <c r="G352" s="33" t="s">
        <v>36</v>
      </c>
      <c r="H352" s="33" t="s">
        <v>37</v>
      </c>
      <c r="I352" s="33" t="s">
        <v>38</v>
      </c>
      <c r="J352" s="99" t="s">
        <v>39</v>
      </c>
      <c r="K352" s="117"/>
      <c r="L352" s="117"/>
      <c r="M352" s="117"/>
    </row>
    <row r="353" spans="1:13" ht="13.5">
      <c r="A353" s="4"/>
      <c r="B353" s="57" t="s">
        <v>1002</v>
      </c>
      <c r="C353" s="35"/>
      <c r="D353" s="35"/>
      <c r="E353" s="35"/>
      <c r="F353" s="35"/>
      <c r="G353" s="34" t="s">
        <v>41</v>
      </c>
      <c r="H353" s="22"/>
      <c r="I353" s="89" t="s">
        <v>1003</v>
      </c>
      <c r="J353" s="99"/>
      <c r="K353" s="117"/>
      <c r="L353" s="117" t="s">
        <v>86</v>
      </c>
      <c r="M353" s="117"/>
    </row>
    <row r="354" spans="1:13" ht="13.5">
      <c r="A354" s="4"/>
      <c r="B354" s="57" t="s">
        <v>1004</v>
      </c>
      <c r="C354" s="35"/>
      <c r="D354" s="35"/>
      <c r="E354" s="35"/>
      <c r="F354" s="35"/>
      <c r="G354" s="34" t="s">
        <v>41</v>
      </c>
      <c r="H354" s="22"/>
      <c r="I354" s="89" t="s">
        <v>323</v>
      </c>
      <c r="J354" s="99"/>
      <c r="K354" s="117"/>
      <c r="L354" s="117" t="s">
        <v>86</v>
      </c>
      <c r="M354" s="117"/>
    </row>
    <row r="355" spans="1:13" ht="12.75">
      <c r="A355" s="4"/>
      <c r="B355" s="67" t="s">
        <v>1005</v>
      </c>
      <c r="C355" s="68"/>
      <c r="D355" s="68"/>
      <c r="E355" s="68"/>
      <c r="F355" s="68"/>
      <c r="G355" s="68"/>
      <c r="H355" s="7" t="s">
        <v>43</v>
      </c>
      <c r="I355" s="127"/>
      <c r="J355" s="108"/>
      <c r="K355" s="117"/>
      <c r="L355" s="117"/>
      <c r="M355" s="117"/>
    </row>
    <row r="356" spans="1:13" ht="12.75">
      <c r="A356" s="4"/>
      <c r="B356" s="67" t="s">
        <v>1006</v>
      </c>
      <c r="C356" s="68"/>
      <c r="D356" s="68"/>
      <c r="E356" s="68"/>
      <c r="F356" s="68"/>
      <c r="G356" s="68"/>
      <c r="H356" s="7" t="s">
        <v>43</v>
      </c>
      <c r="I356" s="127"/>
      <c r="J356" s="108"/>
      <c r="K356" s="117"/>
      <c r="L356" s="117"/>
      <c r="M356" s="117"/>
    </row>
    <row r="357" spans="1:13" ht="13.5">
      <c r="A357" s="4"/>
      <c r="B357" s="57" t="s">
        <v>1007</v>
      </c>
      <c r="C357" s="34"/>
      <c r="D357" s="35"/>
      <c r="E357" s="35"/>
      <c r="F357" s="35"/>
      <c r="G357" s="34" t="s">
        <v>41</v>
      </c>
      <c r="H357" s="22"/>
      <c r="I357" s="128">
        <f>HYPERLINK("NetworkAccessRecord!NA_Usage_GPRS_PDPType_IPAddress","IPAddress")</f>
        <v>0</v>
      </c>
      <c r="J357" s="99"/>
      <c r="K357" s="117"/>
      <c r="L357" s="117" t="s">
        <v>600</v>
      </c>
      <c r="M357" s="117"/>
    </row>
    <row r="358" spans="1:13" ht="13.5">
      <c r="A358" s="4"/>
      <c r="B358" s="57" t="s">
        <v>1008</v>
      </c>
      <c r="C358" s="34"/>
      <c r="D358" s="35"/>
      <c r="E358" s="35"/>
      <c r="F358" s="35"/>
      <c r="G358" s="34" t="s">
        <v>41</v>
      </c>
      <c r="H358" s="22"/>
      <c r="I358" s="89" t="s">
        <v>123</v>
      </c>
      <c r="J358" s="99"/>
      <c r="K358" s="117"/>
      <c r="L358" s="117" t="s">
        <v>86</v>
      </c>
      <c r="M358" s="117"/>
    </row>
    <row r="359" spans="1:13" ht="13.5">
      <c r="A359" s="4"/>
      <c r="B359" s="57" t="s">
        <v>1009</v>
      </c>
      <c r="C359" s="34"/>
      <c r="D359" s="35"/>
      <c r="E359" s="35"/>
      <c r="F359" s="35"/>
      <c r="G359" s="34" t="s">
        <v>41</v>
      </c>
      <c r="H359" s="22"/>
      <c r="I359" s="89" t="s">
        <v>1010</v>
      </c>
      <c r="J359" s="99"/>
      <c r="K359" s="117"/>
      <c r="L359" s="117" t="s">
        <v>86</v>
      </c>
      <c r="M359" s="117"/>
    </row>
    <row r="360" spans="1:13" ht="12.75">
      <c r="A360" s="4"/>
      <c r="B360" s="67" t="s">
        <v>1011</v>
      </c>
      <c r="C360" s="68"/>
      <c r="D360" s="68"/>
      <c r="E360" s="68"/>
      <c r="F360" s="68"/>
      <c r="G360" s="68"/>
      <c r="H360" s="7" t="s">
        <v>43</v>
      </c>
      <c r="I360" s="127"/>
      <c r="J360" s="108"/>
      <c r="K360" s="117"/>
      <c r="L360" s="117"/>
      <c r="M360" s="117"/>
    </row>
    <row r="361" spans="1:13" ht="115.5">
      <c r="A361" s="4"/>
      <c r="B361" s="57" t="s">
        <v>1012</v>
      </c>
      <c r="C361" s="34"/>
      <c r="D361" s="35"/>
      <c r="E361" s="35"/>
      <c r="F361" s="35"/>
      <c r="G361" s="34" t="s">
        <v>41</v>
      </c>
      <c r="H361" s="22"/>
      <c r="I361" s="89" t="s">
        <v>334</v>
      </c>
      <c r="J361" s="99"/>
      <c r="K361" s="117"/>
      <c r="L361" s="117" t="s">
        <v>86</v>
      </c>
      <c r="M361" s="117"/>
    </row>
    <row r="362" spans="2:13" ht="14.25" customHeight="1">
      <c r="B362" s="10"/>
      <c r="C362" s="10"/>
      <c r="D362" s="10"/>
      <c r="E362" s="10"/>
      <c r="F362" s="10"/>
      <c r="G362" s="10"/>
      <c r="H362" s="10"/>
      <c r="I362" s="29"/>
      <c r="J362" s="29"/>
      <c r="K362" s="117"/>
      <c r="L362" s="117"/>
      <c r="M362" s="117"/>
    </row>
    <row r="363" spans="1:13" ht="12.75">
      <c r="A363" s="4"/>
      <c r="B363" s="30" t="s">
        <v>1013</v>
      </c>
      <c r="C363" s="19" t="s">
        <v>28</v>
      </c>
      <c r="D363" s="19"/>
      <c r="E363" s="19"/>
      <c r="F363" s="19"/>
      <c r="G363" s="31" t="s">
        <v>29</v>
      </c>
      <c r="H363" s="31"/>
      <c r="I363" s="32"/>
      <c r="J363" s="13"/>
      <c r="K363" s="117"/>
      <c r="L363" s="117"/>
      <c r="M363" s="117"/>
    </row>
    <row r="364" spans="1:13" ht="34.5">
      <c r="A364" s="4"/>
      <c r="B364" s="33" t="s">
        <v>32</v>
      </c>
      <c r="C364" s="23"/>
      <c r="D364" s="23" t="s">
        <v>33</v>
      </c>
      <c r="E364" s="23" t="s">
        <v>34</v>
      </c>
      <c r="F364" s="23" t="s">
        <v>35</v>
      </c>
      <c r="G364" s="33" t="s">
        <v>36</v>
      </c>
      <c r="H364" s="33" t="s">
        <v>37</v>
      </c>
      <c r="I364" s="33" t="s">
        <v>38</v>
      </c>
      <c r="J364" s="99" t="s">
        <v>39</v>
      </c>
      <c r="K364" s="117"/>
      <c r="L364" s="117"/>
      <c r="M364" s="117" t="s">
        <v>1014</v>
      </c>
    </row>
    <row r="365" spans="1:13" ht="12.75">
      <c r="A365" s="4"/>
      <c r="B365" s="57" t="s">
        <v>621</v>
      </c>
      <c r="C365" s="35"/>
      <c r="D365" s="35"/>
      <c r="E365" s="35"/>
      <c r="F365" s="35"/>
      <c r="G365" s="34" t="s">
        <v>41</v>
      </c>
      <c r="H365" s="22"/>
      <c r="I365" s="22" t="s">
        <v>622</v>
      </c>
      <c r="J365" s="99"/>
      <c r="K365" s="117"/>
      <c r="L365" s="117" t="s">
        <v>86</v>
      </c>
      <c r="M365" s="117"/>
    </row>
    <row r="366" spans="1:13" ht="12.75">
      <c r="A366" s="4"/>
      <c r="B366" s="57" t="s">
        <v>624</v>
      </c>
      <c r="C366" s="35"/>
      <c r="D366" s="35"/>
      <c r="E366" s="35"/>
      <c r="F366" s="35"/>
      <c r="G366" s="34" t="s">
        <v>41</v>
      </c>
      <c r="H366" s="22"/>
      <c r="I366" s="22" t="s">
        <v>625</v>
      </c>
      <c r="J366" s="99"/>
      <c r="K366" s="117"/>
      <c r="L366" s="117" t="s">
        <v>86</v>
      </c>
      <c r="M366" s="117"/>
    </row>
    <row r="367" spans="1:13" ht="12.75">
      <c r="A367" s="4"/>
      <c r="B367" s="57" t="s">
        <v>626</v>
      </c>
      <c r="C367" s="35"/>
      <c r="D367" s="35"/>
      <c r="E367" s="35"/>
      <c r="F367" s="35"/>
      <c r="G367" s="34" t="s">
        <v>41</v>
      </c>
      <c r="H367" s="22"/>
      <c r="I367" s="22" t="s">
        <v>627</v>
      </c>
      <c r="J367" s="99"/>
      <c r="K367" s="117"/>
      <c r="L367" s="117" t="s">
        <v>86</v>
      </c>
      <c r="M367" s="117"/>
    </row>
    <row r="368" spans="2:13" ht="14.25" customHeight="1">
      <c r="B368" s="29"/>
      <c r="C368" s="29"/>
      <c r="D368" s="29"/>
      <c r="E368" s="29"/>
      <c r="F368" s="29"/>
      <c r="G368" s="29"/>
      <c r="H368" s="29"/>
      <c r="I368" s="29"/>
      <c r="J368" s="29"/>
      <c r="K368" s="117"/>
      <c r="L368" s="117"/>
      <c r="M368" s="117"/>
    </row>
    <row r="369" spans="1:10" ht="12.75">
      <c r="A369" s="50" t="s">
        <v>1015</v>
      </c>
      <c r="B369" s="50"/>
      <c r="C369" s="51"/>
      <c r="D369" s="51"/>
      <c r="E369" s="51"/>
      <c r="F369" s="51"/>
      <c r="G369" s="51"/>
      <c r="H369" s="51"/>
      <c r="I369" s="51"/>
      <c r="J369" s="51"/>
    </row>
    <row r="370" spans="2:8" ht="14.25" customHeight="1">
      <c r="B370" s="3"/>
      <c r="C370" s="3"/>
      <c r="D370" s="3"/>
      <c r="E370" s="3"/>
      <c r="F370" s="3"/>
      <c r="G370" s="3"/>
      <c r="H370" s="3"/>
    </row>
    <row r="371" spans="1:13" ht="12.75">
      <c r="A371" s="4"/>
      <c r="B371" s="30" t="s">
        <v>1016</v>
      </c>
      <c r="C371" s="19" t="s">
        <v>28</v>
      </c>
      <c r="D371" s="19"/>
      <c r="E371" s="19"/>
      <c r="F371" s="19"/>
      <c r="G371" s="31" t="s">
        <v>29</v>
      </c>
      <c r="H371" s="31"/>
      <c r="I371" s="32"/>
      <c r="J371" s="13"/>
      <c r="K371" s="117"/>
      <c r="L371" s="117"/>
      <c r="M371" s="117"/>
    </row>
    <row r="372" spans="1:13" ht="12.75">
      <c r="A372" s="4"/>
      <c r="B372" s="33" t="s">
        <v>32</v>
      </c>
      <c r="C372" s="23"/>
      <c r="D372" s="23" t="s">
        <v>33</v>
      </c>
      <c r="E372" s="23" t="s">
        <v>34</v>
      </c>
      <c r="F372" s="23" t="s">
        <v>35</v>
      </c>
      <c r="G372" s="33" t="s">
        <v>36</v>
      </c>
      <c r="H372" s="33" t="s">
        <v>37</v>
      </c>
      <c r="I372" s="33" t="s">
        <v>38</v>
      </c>
      <c r="J372" s="99" t="s">
        <v>39</v>
      </c>
      <c r="K372" s="117"/>
      <c r="L372" s="117"/>
      <c r="M372" s="117"/>
    </row>
    <row r="373" spans="1:13" ht="191.25">
      <c r="A373" s="4"/>
      <c r="B373" s="125" t="s">
        <v>1017</v>
      </c>
      <c r="C373" s="23"/>
      <c r="D373" s="23"/>
      <c r="E373" s="23"/>
      <c r="F373" s="23"/>
      <c r="G373" s="24" t="s">
        <v>211</v>
      </c>
      <c r="H373" s="22"/>
      <c r="I373" s="89" t="s">
        <v>1018</v>
      </c>
      <c r="J373" s="109">
        <f>HYPERLINK("NetworkAccessRecord!NA_DEvice_naDeviceID","naDeviceID")</f>
        <v>0</v>
      </c>
      <c r="K373" s="117"/>
      <c r="L373" s="117" t="s">
        <v>1019</v>
      </c>
      <c r="M373" s="117"/>
    </row>
    <row r="374" spans="1:13" ht="26.25">
      <c r="A374" s="4"/>
      <c r="B374" s="112" t="s">
        <v>1020</v>
      </c>
      <c r="C374" s="25"/>
      <c r="D374" s="25"/>
      <c r="E374" s="25"/>
      <c r="F374" s="25"/>
      <c r="G374" s="24" t="s">
        <v>41</v>
      </c>
      <c r="H374" s="24"/>
      <c r="I374" s="24" t="s">
        <v>1021</v>
      </c>
      <c r="J374" s="101"/>
      <c r="K374" s="117"/>
      <c r="L374" s="117" t="s">
        <v>1022</v>
      </c>
      <c r="M374" s="117"/>
    </row>
    <row r="375" spans="1:13" ht="13.5">
      <c r="A375" s="4"/>
      <c r="B375" s="125" t="s">
        <v>1023</v>
      </c>
      <c r="C375" s="23"/>
      <c r="D375" s="23"/>
      <c r="E375" s="23"/>
      <c r="F375" s="23"/>
      <c r="G375" s="22" t="s">
        <v>41</v>
      </c>
      <c r="H375" s="22"/>
      <c r="I375" s="128">
        <f>HYPERLINK("NetworkAccessRecord!NA_Device_Location","Location")</f>
        <v>0</v>
      </c>
      <c r="J375" s="99"/>
      <c r="K375" s="117"/>
      <c r="L375" s="117" t="s">
        <v>401</v>
      </c>
      <c r="M375" s="117"/>
    </row>
    <row r="376" spans="1:13" ht="26.25">
      <c r="A376" s="4"/>
      <c r="B376" s="112" t="s">
        <v>1024</v>
      </c>
      <c r="C376" s="25"/>
      <c r="D376" s="25"/>
      <c r="E376" s="25"/>
      <c r="F376" s="25"/>
      <c r="G376" s="24" t="s">
        <v>41</v>
      </c>
      <c r="H376" s="24"/>
      <c r="I376" s="24" t="s">
        <v>1025</v>
      </c>
      <c r="J376" s="101"/>
      <c r="K376" s="117"/>
      <c r="L376" s="117" t="s">
        <v>902</v>
      </c>
      <c r="M376" s="117"/>
    </row>
    <row r="377" spans="1:13" ht="13.5">
      <c r="A377" s="4"/>
      <c r="B377" s="125" t="s">
        <v>1026</v>
      </c>
      <c r="C377" s="23"/>
      <c r="D377" s="23"/>
      <c r="E377" s="23"/>
      <c r="F377" s="23"/>
      <c r="G377" s="22" t="s">
        <v>41</v>
      </c>
      <c r="H377" s="22"/>
      <c r="I377" s="89" t="s">
        <v>123</v>
      </c>
      <c r="J377" s="99"/>
      <c r="K377" s="117"/>
      <c r="L377" s="117" t="s">
        <v>86</v>
      </c>
      <c r="M377" s="117"/>
    </row>
    <row r="378" spans="1:13" ht="13.5">
      <c r="A378" s="4"/>
      <c r="B378" s="112" t="s">
        <v>1027</v>
      </c>
      <c r="C378" s="25"/>
      <c r="D378" s="25"/>
      <c r="E378" s="25"/>
      <c r="F378" s="25"/>
      <c r="G378" s="24" t="s">
        <v>41</v>
      </c>
      <c r="H378" s="24"/>
      <c r="I378" s="24" t="s">
        <v>1028</v>
      </c>
      <c r="J378" s="101"/>
      <c r="K378" s="117"/>
      <c r="L378" s="117" t="s">
        <v>86</v>
      </c>
      <c r="M378" s="117"/>
    </row>
    <row r="379" spans="1:13" ht="57" customHeight="1">
      <c r="A379" s="4"/>
      <c r="B379" s="123" t="s">
        <v>1029</v>
      </c>
      <c r="C379" s="23"/>
      <c r="D379" s="23"/>
      <c r="E379" s="23"/>
      <c r="F379" s="23"/>
      <c r="G379" s="129" t="s">
        <v>41</v>
      </c>
      <c r="H379" s="22"/>
      <c r="I379" s="89" t="s">
        <v>1030</v>
      </c>
      <c r="J379" s="109">
        <f>HYPERLINK("NetworkAccessRecord!NA_Device_subscriberID","subscriberID")</f>
        <v>0</v>
      </c>
      <c r="K379" s="117"/>
      <c r="L379" s="117" t="s">
        <v>170</v>
      </c>
      <c r="M379" s="117"/>
    </row>
    <row r="380" spans="2:13" ht="14.25" customHeight="1">
      <c r="B380" s="10"/>
      <c r="C380" s="10"/>
      <c r="D380" s="10"/>
      <c r="E380" s="10"/>
      <c r="F380" s="10"/>
      <c r="G380" s="10"/>
      <c r="H380" s="10"/>
      <c r="I380" s="10"/>
      <c r="J380" s="10"/>
      <c r="K380" s="117"/>
      <c r="L380" s="117"/>
      <c r="M380" s="117"/>
    </row>
    <row r="381" spans="1:14" ht="57" customHeight="1">
      <c r="A381" s="4"/>
      <c r="B381" s="36" t="s">
        <v>1031</v>
      </c>
      <c r="C381" s="36"/>
      <c r="D381" s="36"/>
      <c r="E381" s="36"/>
      <c r="F381" s="36"/>
      <c r="G381" s="37" t="s">
        <v>52</v>
      </c>
      <c r="H381" s="37"/>
      <c r="I381" s="37"/>
      <c r="J381" s="37"/>
      <c r="K381" s="117"/>
      <c r="L381" s="117" t="s">
        <v>1032</v>
      </c>
      <c r="M381" s="117"/>
      <c r="N381" s="117"/>
    </row>
    <row r="382" spans="1:14" ht="13.5" customHeight="1">
      <c r="A382" s="4"/>
      <c r="B382" s="38" t="s">
        <v>1033</v>
      </c>
      <c r="C382" s="38"/>
      <c r="D382" s="38"/>
      <c r="E382" s="38"/>
      <c r="F382" s="38"/>
      <c r="G382" s="25"/>
      <c r="H382" s="25"/>
      <c r="I382" s="25"/>
      <c r="J382" s="25"/>
      <c r="K382" s="117"/>
      <c r="L382" s="117" t="s">
        <v>902</v>
      </c>
      <c r="M382" s="117"/>
      <c r="N382" s="117"/>
    </row>
    <row r="383" spans="2:13" ht="12.75">
      <c r="B383" s="78"/>
      <c r="C383" s="78"/>
      <c r="D383" s="78"/>
      <c r="E383" s="78"/>
      <c r="F383" s="78"/>
      <c r="G383" s="54"/>
      <c r="H383" s="54"/>
      <c r="I383" s="54"/>
      <c r="J383" s="54"/>
      <c r="K383" s="117"/>
      <c r="L383" s="117"/>
      <c r="M383" s="117"/>
    </row>
    <row r="384" spans="1:14" ht="57" customHeight="1">
      <c r="A384" s="4"/>
      <c r="B384" s="36" t="s">
        <v>1034</v>
      </c>
      <c r="C384" s="36"/>
      <c r="D384" s="36"/>
      <c r="E384" s="36"/>
      <c r="F384" s="36"/>
      <c r="G384" s="37" t="s">
        <v>52</v>
      </c>
      <c r="H384" s="37"/>
      <c r="I384" s="37"/>
      <c r="J384" s="37"/>
      <c r="K384" s="117"/>
      <c r="L384" s="117" t="s">
        <v>1035</v>
      </c>
      <c r="M384" s="117"/>
      <c r="N384" s="117"/>
    </row>
    <row r="385" spans="1:14" ht="26.25" customHeight="1">
      <c r="A385" s="4"/>
      <c r="B385" s="38" t="s">
        <v>1036</v>
      </c>
      <c r="C385" s="38"/>
      <c r="D385" s="38"/>
      <c r="E385" s="38"/>
      <c r="F385" s="38"/>
      <c r="G385" s="25"/>
      <c r="H385" s="25"/>
      <c r="I385" s="25"/>
      <c r="J385" s="25"/>
      <c r="K385" s="117"/>
      <c r="L385" s="117" t="s">
        <v>898</v>
      </c>
      <c r="M385" s="117"/>
      <c r="N385" s="117"/>
    </row>
    <row r="386" spans="2:13" ht="14.25" customHeight="1">
      <c r="B386" s="10"/>
      <c r="C386" s="10"/>
      <c r="D386" s="10"/>
      <c r="E386" s="10"/>
      <c r="F386" s="10"/>
      <c r="G386" s="10"/>
      <c r="H386" s="10"/>
      <c r="I386" s="29"/>
      <c r="J386" s="29"/>
      <c r="K386" s="117"/>
      <c r="L386" s="117"/>
      <c r="M386" s="117"/>
    </row>
    <row r="387" spans="1:13" ht="12.75">
      <c r="A387" s="4"/>
      <c r="B387" s="30" t="s">
        <v>407</v>
      </c>
      <c r="C387" s="19" t="s">
        <v>28</v>
      </c>
      <c r="D387" s="19"/>
      <c r="E387" s="19"/>
      <c r="F387" s="19"/>
      <c r="G387" s="31" t="s">
        <v>29</v>
      </c>
      <c r="H387" s="31"/>
      <c r="I387" s="32"/>
      <c r="J387" s="13"/>
      <c r="K387" s="117"/>
      <c r="L387" s="117"/>
      <c r="M387" s="117"/>
    </row>
    <row r="388" spans="1:13" ht="12.75">
      <c r="A388" s="4"/>
      <c r="B388" s="33" t="s">
        <v>32</v>
      </c>
      <c r="C388" s="23"/>
      <c r="D388" s="23" t="s">
        <v>33</v>
      </c>
      <c r="E388" s="23" t="s">
        <v>34</v>
      </c>
      <c r="F388" s="23" t="s">
        <v>35</v>
      </c>
      <c r="G388" s="33" t="s">
        <v>36</v>
      </c>
      <c r="H388" s="33" t="s">
        <v>37</v>
      </c>
      <c r="I388" s="33" t="s">
        <v>38</v>
      </c>
      <c r="J388" s="99" t="s">
        <v>39</v>
      </c>
      <c r="K388" s="117"/>
      <c r="L388" s="117"/>
      <c r="M388" s="117"/>
    </row>
    <row r="389" spans="1:13" ht="12.75">
      <c r="A389" s="4"/>
      <c r="B389" s="67" t="s">
        <v>408</v>
      </c>
      <c r="C389" s="68"/>
      <c r="D389" s="68"/>
      <c r="E389" s="68"/>
      <c r="F389" s="68"/>
      <c r="G389" s="68"/>
      <c r="H389" s="68" t="s">
        <v>43</v>
      </c>
      <c r="I389" s="7"/>
      <c r="J389" s="108"/>
      <c r="K389" s="117"/>
      <c r="L389" s="117"/>
      <c r="M389" s="117"/>
    </row>
    <row r="390" spans="1:13" ht="12.75">
      <c r="A390" s="4"/>
      <c r="B390" s="57" t="s">
        <v>409</v>
      </c>
      <c r="C390" s="34"/>
      <c r="D390" s="35"/>
      <c r="E390" s="35"/>
      <c r="F390" s="35"/>
      <c r="G390" s="34" t="s">
        <v>41</v>
      </c>
      <c r="H390" s="34"/>
      <c r="I390" s="34" t="s">
        <v>410</v>
      </c>
      <c r="J390" s="99"/>
      <c r="K390" s="117"/>
      <c r="L390" s="117" t="s">
        <v>86</v>
      </c>
      <c r="M390" s="117"/>
    </row>
    <row r="391" spans="1:13" ht="12.75">
      <c r="A391" s="4"/>
      <c r="B391" s="67" t="s">
        <v>412</v>
      </c>
      <c r="C391" s="68"/>
      <c r="D391" s="68"/>
      <c r="E391" s="68"/>
      <c r="F391" s="68"/>
      <c r="G391" s="68"/>
      <c r="H391" s="68" t="s">
        <v>43</v>
      </c>
      <c r="I391" s="7"/>
      <c r="J391" s="108"/>
      <c r="K391" s="117"/>
      <c r="L391" s="117"/>
      <c r="M391" s="117"/>
    </row>
    <row r="392" spans="1:13" ht="12.75">
      <c r="A392" s="4"/>
      <c r="B392" s="57" t="s">
        <v>413</v>
      </c>
      <c r="C392" s="34"/>
      <c r="D392" s="35"/>
      <c r="E392" s="35"/>
      <c r="F392" s="35"/>
      <c r="G392" s="34" t="s">
        <v>41</v>
      </c>
      <c r="H392" s="34"/>
      <c r="I392" s="59">
        <f>HYPERLINK("NetworkAccessRecord!NA_Device_GSMLocation","GSMLocation")</f>
        <v>0</v>
      </c>
      <c r="J392" s="99"/>
      <c r="K392" s="117"/>
      <c r="L392" s="117" t="s">
        <v>414</v>
      </c>
      <c r="M392" s="117"/>
    </row>
    <row r="393" spans="1:13" ht="12.75">
      <c r="A393" s="4"/>
      <c r="B393" s="67" t="s">
        <v>415</v>
      </c>
      <c r="C393" s="68"/>
      <c r="D393" s="68"/>
      <c r="E393" s="68"/>
      <c r="F393" s="68"/>
      <c r="G393" s="68"/>
      <c r="H393" s="68" t="s">
        <v>43</v>
      </c>
      <c r="I393" s="7"/>
      <c r="J393" s="108"/>
      <c r="K393" s="117"/>
      <c r="L393" s="117"/>
      <c r="M393" s="117"/>
    </row>
    <row r="394" spans="1:13" ht="12.75">
      <c r="A394" s="4"/>
      <c r="B394" s="67" t="s">
        <v>416</v>
      </c>
      <c r="C394" s="68"/>
      <c r="D394" s="68"/>
      <c r="E394" s="68"/>
      <c r="F394" s="68"/>
      <c r="G394" s="68"/>
      <c r="H394" s="68" t="s">
        <v>43</v>
      </c>
      <c r="I394" s="7"/>
      <c r="J394" s="108"/>
      <c r="K394" s="117"/>
      <c r="L394" s="117"/>
      <c r="M394" s="117"/>
    </row>
    <row r="395" spans="1:13" ht="12.75">
      <c r="A395" s="4"/>
      <c r="B395" s="67" t="s">
        <v>417</v>
      </c>
      <c r="C395" s="68"/>
      <c r="D395" s="68"/>
      <c r="E395" s="68"/>
      <c r="F395" s="68"/>
      <c r="G395" s="68"/>
      <c r="H395" s="68" t="s">
        <v>43</v>
      </c>
      <c r="I395" s="7"/>
      <c r="J395" s="108"/>
      <c r="K395" s="117"/>
      <c r="L395" s="117"/>
      <c r="M395" s="117"/>
    </row>
    <row r="396" spans="1:13" ht="12.75">
      <c r="A396" s="4"/>
      <c r="B396" s="57" t="s">
        <v>418</v>
      </c>
      <c r="C396" s="34"/>
      <c r="D396" s="35"/>
      <c r="E396" s="35"/>
      <c r="F396" s="35"/>
      <c r="G396" s="34" t="s">
        <v>41</v>
      </c>
      <c r="H396" s="34"/>
      <c r="I396" s="59">
        <f>HYPERLINK("NetworkAccessRecord!NA_Device_AddressInformation","AddressInformation")</f>
        <v>0</v>
      </c>
      <c r="J396" s="99"/>
      <c r="K396" s="117"/>
      <c r="L396" s="117" t="s">
        <v>706</v>
      </c>
      <c r="M396" s="117"/>
    </row>
    <row r="397" spans="1:13" ht="12.75">
      <c r="A397" s="4"/>
      <c r="B397" s="67" t="s">
        <v>420</v>
      </c>
      <c r="C397" s="68"/>
      <c r="D397" s="68"/>
      <c r="E397" s="68"/>
      <c r="F397" s="68"/>
      <c r="G397" s="68"/>
      <c r="H397" s="68" t="s">
        <v>43</v>
      </c>
      <c r="I397" s="7"/>
      <c r="J397" s="108"/>
      <c r="K397" s="117"/>
      <c r="L397" s="117"/>
      <c r="M397" s="117"/>
    </row>
    <row r="398" spans="2:13" ht="14.25" customHeight="1">
      <c r="B398" s="10"/>
      <c r="C398" s="10"/>
      <c r="D398" s="10"/>
      <c r="E398" s="10"/>
      <c r="F398" s="10"/>
      <c r="G398" s="10"/>
      <c r="H398" s="10"/>
      <c r="I398" s="29"/>
      <c r="J398" s="29"/>
      <c r="K398" s="117"/>
      <c r="L398" s="117"/>
      <c r="M398" s="117"/>
    </row>
    <row r="399" spans="1:13" ht="12.75">
      <c r="A399" s="4"/>
      <c r="B399" s="30" t="s">
        <v>421</v>
      </c>
      <c r="C399" s="19" t="s">
        <v>28</v>
      </c>
      <c r="D399" s="19"/>
      <c r="E399" s="19"/>
      <c r="F399" s="19"/>
      <c r="G399" s="31" t="s">
        <v>29</v>
      </c>
      <c r="H399" s="31"/>
      <c r="I399" s="32"/>
      <c r="J399" s="13"/>
      <c r="K399" s="117"/>
      <c r="L399" s="117"/>
      <c r="M399" s="117"/>
    </row>
    <row r="400" spans="1:13" ht="12.75">
      <c r="A400" s="4"/>
      <c r="B400" s="33" t="s">
        <v>32</v>
      </c>
      <c r="C400" s="23"/>
      <c r="D400" s="23" t="s">
        <v>33</v>
      </c>
      <c r="E400" s="23" t="s">
        <v>34</v>
      </c>
      <c r="F400" s="23" t="s">
        <v>35</v>
      </c>
      <c r="G400" s="33" t="s">
        <v>36</v>
      </c>
      <c r="H400" s="33" t="s">
        <v>37</v>
      </c>
      <c r="I400" s="33" t="s">
        <v>38</v>
      </c>
      <c r="J400" s="99" t="s">
        <v>39</v>
      </c>
      <c r="K400" s="117"/>
      <c r="L400" s="117"/>
      <c r="M400" s="117"/>
    </row>
    <row r="401" spans="1:13" ht="12.75">
      <c r="A401" s="4"/>
      <c r="B401" s="57" t="s">
        <v>422</v>
      </c>
      <c r="C401" s="35"/>
      <c r="D401" s="35"/>
      <c r="E401" s="35"/>
      <c r="F401" s="35"/>
      <c r="G401" s="34" t="s">
        <v>41</v>
      </c>
      <c r="H401" s="34"/>
      <c r="I401" s="59">
        <f>HYPERLINK("NetworkAccessRecord!NA_Device_geoCoordinates","geoCoordinates")</f>
        <v>0</v>
      </c>
      <c r="J401" s="99"/>
      <c r="K401" s="117"/>
      <c r="L401" s="117" t="s">
        <v>423</v>
      </c>
      <c r="M401" s="117"/>
    </row>
    <row r="402" spans="1:13" ht="12.75">
      <c r="A402" s="4"/>
      <c r="B402" s="67" t="s">
        <v>424</v>
      </c>
      <c r="C402" s="68"/>
      <c r="D402" s="68"/>
      <c r="E402" s="68"/>
      <c r="F402" s="68"/>
      <c r="G402" s="68"/>
      <c r="H402" s="68" t="s">
        <v>43</v>
      </c>
      <c r="I402" s="7"/>
      <c r="J402" s="108"/>
      <c r="K402" s="117"/>
      <c r="L402" s="117"/>
      <c r="M402" s="117"/>
    </row>
    <row r="403" spans="1:13" ht="12.75">
      <c r="A403" s="4"/>
      <c r="B403" s="67" t="s">
        <v>425</v>
      </c>
      <c r="C403" s="68"/>
      <c r="D403" s="68"/>
      <c r="E403" s="68"/>
      <c r="F403" s="68"/>
      <c r="G403" s="68"/>
      <c r="H403" s="68" t="s">
        <v>43</v>
      </c>
      <c r="I403" s="7"/>
      <c r="J403" s="108"/>
      <c r="K403" s="117"/>
      <c r="L403" s="117"/>
      <c r="M403" s="117"/>
    </row>
    <row r="404" spans="1:13" ht="26.25">
      <c r="A404" s="4"/>
      <c r="B404" s="57" t="s">
        <v>426</v>
      </c>
      <c r="C404" s="34"/>
      <c r="D404" s="35"/>
      <c r="E404" s="35"/>
      <c r="F404" s="35"/>
      <c r="G404" s="34" t="s">
        <v>41</v>
      </c>
      <c r="H404" s="34"/>
      <c r="I404" s="24" t="s">
        <v>427</v>
      </c>
      <c r="J404" s="99"/>
      <c r="K404" s="117"/>
      <c r="L404" s="117" t="s">
        <v>86</v>
      </c>
      <c r="M404" s="117"/>
    </row>
    <row r="405" spans="1:13" ht="12.75">
      <c r="A405" s="4"/>
      <c r="B405" s="67" t="s">
        <v>428</v>
      </c>
      <c r="C405" s="68"/>
      <c r="D405" s="68"/>
      <c r="E405" s="68"/>
      <c r="F405" s="68"/>
      <c r="G405" s="68"/>
      <c r="H405" s="68" t="s">
        <v>43</v>
      </c>
      <c r="I405" s="7"/>
      <c r="J405" s="108"/>
      <c r="K405" s="117"/>
      <c r="L405" s="117"/>
      <c r="M405" s="117"/>
    </row>
    <row r="406" spans="2:13" ht="14.25" customHeight="1">
      <c r="B406" s="10"/>
      <c r="C406" s="10"/>
      <c r="D406" s="10"/>
      <c r="E406" s="10"/>
      <c r="F406" s="10"/>
      <c r="G406" s="10"/>
      <c r="H406" s="10"/>
      <c r="I406" s="29"/>
      <c r="J406" s="29"/>
      <c r="K406" s="117"/>
      <c r="L406" s="117"/>
      <c r="M406" s="117"/>
    </row>
    <row r="407" spans="1:13" ht="12.75">
      <c r="A407" s="4"/>
      <c r="B407" s="30" t="s">
        <v>429</v>
      </c>
      <c r="C407" s="19" t="s">
        <v>28</v>
      </c>
      <c r="D407" s="19"/>
      <c r="E407" s="19"/>
      <c r="F407" s="19"/>
      <c r="G407" s="31" t="s">
        <v>29</v>
      </c>
      <c r="H407" s="31"/>
      <c r="I407" s="32"/>
      <c r="J407" s="13"/>
      <c r="K407" s="117"/>
      <c r="L407" s="117"/>
      <c r="M407" s="117"/>
    </row>
    <row r="408" spans="1:13" ht="12.75">
      <c r="A408" s="4"/>
      <c r="B408" s="33" t="s">
        <v>32</v>
      </c>
      <c r="C408" s="23"/>
      <c r="D408" s="23" t="s">
        <v>33</v>
      </c>
      <c r="E408" s="23" t="s">
        <v>34</v>
      </c>
      <c r="F408" s="23" t="s">
        <v>35</v>
      </c>
      <c r="G408" s="33" t="s">
        <v>36</v>
      </c>
      <c r="H408" s="33" t="s">
        <v>37</v>
      </c>
      <c r="I408" s="33" t="s">
        <v>38</v>
      </c>
      <c r="J408" s="99" t="s">
        <v>39</v>
      </c>
      <c r="K408" s="117"/>
      <c r="L408" s="117"/>
      <c r="M408" s="117"/>
    </row>
    <row r="409" spans="1:13" ht="12.75">
      <c r="A409" s="4"/>
      <c r="B409" s="57" t="s">
        <v>430</v>
      </c>
      <c r="C409" s="35"/>
      <c r="D409" s="35"/>
      <c r="E409" s="35"/>
      <c r="F409" s="35"/>
      <c r="G409" s="34" t="s">
        <v>41</v>
      </c>
      <c r="H409" s="22"/>
      <c r="I409" s="22"/>
      <c r="J409" s="99"/>
      <c r="K409" s="117"/>
      <c r="L409" s="117" t="s">
        <v>86</v>
      </c>
      <c r="M409" s="117"/>
    </row>
    <row r="410" spans="1:13" ht="12.75">
      <c r="A410" s="4"/>
      <c r="B410" s="57" t="s">
        <v>432</v>
      </c>
      <c r="C410" s="35"/>
      <c r="D410" s="35"/>
      <c r="E410" s="35"/>
      <c r="F410" s="35"/>
      <c r="G410" s="34" t="s">
        <v>41</v>
      </c>
      <c r="H410" s="22"/>
      <c r="I410" s="22"/>
      <c r="J410" s="99"/>
      <c r="K410" s="117"/>
      <c r="L410" s="117" t="s">
        <v>86</v>
      </c>
      <c r="M410" s="117"/>
    </row>
    <row r="411" spans="1:13" ht="12.75">
      <c r="A411" s="4"/>
      <c r="B411" s="57" t="s">
        <v>434</v>
      </c>
      <c r="C411" s="35"/>
      <c r="D411" s="35"/>
      <c r="E411" s="35"/>
      <c r="F411" s="35"/>
      <c r="G411" s="34" t="s">
        <v>41</v>
      </c>
      <c r="H411" s="22"/>
      <c r="I411" s="59">
        <f>HYPERLINK("NetworkAccessRecord!NA_Device_MapDatum","MapDatum")</f>
        <v>0</v>
      </c>
      <c r="J411" s="99"/>
      <c r="K411" s="117"/>
      <c r="L411" s="117" t="s">
        <v>435</v>
      </c>
      <c r="M411" s="117"/>
    </row>
    <row r="412" spans="1:13" ht="12.75">
      <c r="A412" s="4"/>
      <c r="B412" s="57" t="s">
        <v>436</v>
      </c>
      <c r="C412" s="35"/>
      <c r="D412" s="35"/>
      <c r="E412" s="35"/>
      <c r="F412" s="35"/>
      <c r="G412" s="34" t="s">
        <v>41</v>
      </c>
      <c r="H412" s="22"/>
      <c r="I412" s="22" t="s">
        <v>437</v>
      </c>
      <c r="J412" s="99"/>
      <c r="K412" s="117"/>
      <c r="L412" s="117" t="s">
        <v>86</v>
      </c>
      <c r="M412" s="117"/>
    </row>
    <row r="413" spans="2:13" ht="14.25" customHeight="1">
      <c r="B413" s="10"/>
      <c r="C413" s="10"/>
      <c r="D413" s="10"/>
      <c r="E413" s="10"/>
      <c r="F413" s="10"/>
      <c r="G413" s="10"/>
      <c r="H413" s="10"/>
      <c r="I413" s="29"/>
      <c r="J413" s="29"/>
      <c r="K413" s="117"/>
      <c r="L413" s="117"/>
      <c r="M413" s="117"/>
    </row>
    <row r="414" spans="1:13" ht="12.75">
      <c r="A414" s="4"/>
      <c r="B414" s="30" t="s">
        <v>438</v>
      </c>
      <c r="C414" s="19" t="s">
        <v>28</v>
      </c>
      <c r="D414" s="19"/>
      <c r="E414" s="19"/>
      <c r="F414" s="19"/>
      <c r="G414" s="31" t="s">
        <v>29</v>
      </c>
      <c r="H414" s="31"/>
      <c r="I414" s="32"/>
      <c r="J414" s="13"/>
      <c r="K414" s="117"/>
      <c r="L414" s="117"/>
      <c r="M414" s="117"/>
    </row>
    <row r="415" spans="1:13" ht="12.75">
      <c r="A415" s="4"/>
      <c r="B415" s="33" t="s">
        <v>32</v>
      </c>
      <c r="C415" s="23"/>
      <c r="D415" s="23" t="s">
        <v>33</v>
      </c>
      <c r="E415" s="23" t="s">
        <v>34</v>
      </c>
      <c r="F415" s="23" t="s">
        <v>35</v>
      </c>
      <c r="G415" s="33" t="s">
        <v>36</v>
      </c>
      <c r="H415" s="33" t="s">
        <v>37</v>
      </c>
      <c r="I415" s="33" t="s">
        <v>38</v>
      </c>
      <c r="J415" s="99" t="s">
        <v>39</v>
      </c>
      <c r="K415" s="117"/>
      <c r="L415" s="117"/>
      <c r="M415" s="117"/>
    </row>
    <row r="416" spans="1:13" ht="12.75">
      <c r="A416" s="4"/>
      <c r="B416" s="57" t="s">
        <v>439</v>
      </c>
      <c r="C416" s="35"/>
      <c r="D416" s="35"/>
      <c r="E416" s="35"/>
      <c r="F416" s="35"/>
      <c r="G416" s="34" t="s">
        <v>41</v>
      </c>
      <c r="H416" s="22"/>
      <c r="I416" s="22"/>
      <c r="J416" s="99"/>
      <c r="K416" s="117"/>
      <c r="L416" s="117" t="s">
        <v>86</v>
      </c>
      <c r="M416" s="117"/>
    </row>
    <row r="417" spans="1:13" ht="12.75">
      <c r="A417" s="4"/>
      <c r="B417" s="67" t="s">
        <v>441</v>
      </c>
      <c r="C417" s="68"/>
      <c r="D417" s="68"/>
      <c r="E417" s="68"/>
      <c r="F417" s="68"/>
      <c r="G417" s="68"/>
      <c r="H417" s="68" t="s">
        <v>43</v>
      </c>
      <c r="I417" s="7"/>
      <c r="J417" s="108"/>
      <c r="K417" s="117"/>
      <c r="L417" s="117"/>
      <c r="M417" s="117"/>
    </row>
    <row r="418" spans="1:13" ht="12.75">
      <c r="A418" s="4"/>
      <c r="B418" s="67" t="s">
        <v>442</v>
      </c>
      <c r="C418" s="68"/>
      <c r="D418" s="68"/>
      <c r="E418" s="68"/>
      <c r="F418" s="68"/>
      <c r="G418" s="68"/>
      <c r="H418" s="68" t="s">
        <v>43</v>
      </c>
      <c r="I418" s="7"/>
      <c r="J418" s="108"/>
      <c r="K418" s="117"/>
      <c r="L418" s="117"/>
      <c r="M418" s="117"/>
    </row>
    <row r="419" spans="1:13" ht="12.75">
      <c r="A419" s="4"/>
      <c r="B419" s="67" t="s">
        <v>443</v>
      </c>
      <c r="C419" s="68"/>
      <c r="D419" s="68"/>
      <c r="E419" s="68"/>
      <c r="F419" s="68"/>
      <c r="G419" s="68"/>
      <c r="H419" s="68" t="s">
        <v>43</v>
      </c>
      <c r="I419" s="7"/>
      <c r="J419" s="108"/>
      <c r="K419" s="117"/>
      <c r="L419" s="117"/>
      <c r="M419" s="117"/>
    </row>
    <row r="420" spans="1:13" ht="12.75">
      <c r="A420" s="4"/>
      <c r="B420" s="67" t="s">
        <v>444</v>
      </c>
      <c r="C420" s="68"/>
      <c r="D420" s="68"/>
      <c r="E420" s="68"/>
      <c r="F420" s="68"/>
      <c r="G420" s="68"/>
      <c r="H420" s="68" t="s">
        <v>43</v>
      </c>
      <c r="I420" s="7"/>
      <c r="J420" s="108"/>
      <c r="K420" s="117"/>
      <c r="L420" s="117"/>
      <c r="M420" s="117"/>
    </row>
    <row r="421" spans="1:13" ht="12.75">
      <c r="A421" s="4"/>
      <c r="B421" s="67" t="s">
        <v>445</v>
      </c>
      <c r="C421" s="68"/>
      <c r="D421" s="68"/>
      <c r="E421" s="68"/>
      <c r="F421" s="68"/>
      <c r="G421" s="68"/>
      <c r="H421" s="68" t="s">
        <v>43</v>
      </c>
      <c r="I421" s="7"/>
      <c r="J421" s="108"/>
      <c r="K421" s="117"/>
      <c r="L421" s="117"/>
      <c r="M421" s="117"/>
    </row>
    <row r="422" spans="1:13" ht="12.75">
      <c r="A422" s="4"/>
      <c r="B422" s="67" t="s">
        <v>446</v>
      </c>
      <c r="C422" s="68"/>
      <c r="D422" s="68"/>
      <c r="E422" s="68"/>
      <c r="F422" s="68"/>
      <c r="G422" s="68"/>
      <c r="H422" s="68" t="s">
        <v>43</v>
      </c>
      <c r="I422" s="7"/>
      <c r="J422" s="108"/>
      <c r="K422" s="117"/>
      <c r="L422" s="117"/>
      <c r="M422" s="117"/>
    </row>
    <row r="423" spans="1:13" ht="12.75">
      <c r="A423" s="4"/>
      <c r="B423" s="67" t="s">
        <v>447</v>
      </c>
      <c r="C423" s="68"/>
      <c r="D423" s="68"/>
      <c r="E423" s="68"/>
      <c r="F423" s="68"/>
      <c r="G423" s="68"/>
      <c r="H423" s="68" t="s">
        <v>43</v>
      </c>
      <c r="I423" s="7"/>
      <c r="J423" s="108"/>
      <c r="K423" s="117"/>
      <c r="L423" s="117"/>
      <c r="M423" s="117"/>
    </row>
    <row r="424" spans="1:13" ht="12.75">
      <c r="A424" s="4"/>
      <c r="B424" s="67" t="s">
        <v>448</v>
      </c>
      <c r="C424" s="68"/>
      <c r="D424" s="68"/>
      <c r="E424" s="68"/>
      <c r="F424" s="68"/>
      <c r="G424" s="68"/>
      <c r="H424" s="68" t="s">
        <v>43</v>
      </c>
      <c r="I424" s="7"/>
      <c r="J424" s="108"/>
      <c r="K424" s="117"/>
      <c r="L424" s="117"/>
      <c r="M424" s="117"/>
    </row>
    <row r="425" spans="1:13" ht="12.75">
      <c r="A425" s="4"/>
      <c r="B425" s="67" t="s">
        <v>449</v>
      </c>
      <c r="C425" s="68"/>
      <c r="D425" s="68"/>
      <c r="E425" s="68"/>
      <c r="F425" s="68"/>
      <c r="G425" s="68"/>
      <c r="H425" s="68" t="s">
        <v>43</v>
      </c>
      <c r="I425" s="7"/>
      <c r="J425" s="108"/>
      <c r="K425" s="117"/>
      <c r="L425" s="117"/>
      <c r="M425" s="117"/>
    </row>
    <row r="426" spans="1:13" ht="12.75">
      <c r="A426" s="4"/>
      <c r="B426" s="67" t="s">
        <v>450</v>
      </c>
      <c r="C426" s="68"/>
      <c r="D426" s="68"/>
      <c r="E426" s="68"/>
      <c r="F426" s="68"/>
      <c r="G426" s="68"/>
      <c r="H426" s="68" t="s">
        <v>43</v>
      </c>
      <c r="I426" s="7"/>
      <c r="J426" s="108"/>
      <c r="K426" s="117"/>
      <c r="L426" s="117"/>
      <c r="M426" s="117"/>
    </row>
    <row r="427" spans="1:13" ht="12.75">
      <c r="A427" s="4"/>
      <c r="B427" s="67" t="s">
        <v>451</v>
      </c>
      <c r="C427" s="68"/>
      <c r="D427" s="68"/>
      <c r="E427" s="68"/>
      <c r="F427" s="68"/>
      <c r="G427" s="68"/>
      <c r="H427" s="68" t="s">
        <v>43</v>
      </c>
      <c r="I427" s="7"/>
      <c r="J427" s="108"/>
      <c r="K427" s="117"/>
      <c r="L427" s="117"/>
      <c r="M427" s="117"/>
    </row>
    <row r="428" spans="1:13" ht="12.75">
      <c r="A428" s="4"/>
      <c r="B428" s="57" t="s">
        <v>452</v>
      </c>
      <c r="C428" s="34"/>
      <c r="D428" s="35"/>
      <c r="E428" s="35"/>
      <c r="F428" s="35"/>
      <c r="G428" s="34" t="s">
        <v>41</v>
      </c>
      <c r="H428" s="22"/>
      <c r="I428" s="22"/>
      <c r="J428" s="99"/>
      <c r="K428" s="117"/>
      <c r="L428" s="117" t="s">
        <v>86</v>
      </c>
      <c r="M428" s="117"/>
    </row>
    <row r="429" spans="2:13" ht="14.25" customHeight="1">
      <c r="B429" s="10"/>
      <c r="C429" s="10"/>
      <c r="D429" s="10"/>
      <c r="E429" s="10"/>
      <c r="F429" s="10"/>
      <c r="G429" s="10"/>
      <c r="H429" s="10"/>
      <c r="I429" s="29"/>
      <c r="J429" s="29"/>
      <c r="K429" s="117"/>
      <c r="L429" s="117"/>
      <c r="M429" s="117"/>
    </row>
    <row r="430" spans="1:13" ht="12.75">
      <c r="A430" s="4"/>
      <c r="B430" s="30" t="s">
        <v>83</v>
      </c>
      <c r="C430" s="19" t="s">
        <v>28</v>
      </c>
      <c r="D430" s="19"/>
      <c r="E430" s="19"/>
      <c r="F430" s="19"/>
      <c r="G430" s="31" t="s">
        <v>29</v>
      </c>
      <c r="H430" s="31"/>
      <c r="I430" s="32"/>
      <c r="J430" s="13"/>
      <c r="K430" s="117"/>
      <c r="L430" s="117"/>
      <c r="M430" s="117"/>
    </row>
    <row r="431" spans="1:13" ht="12.75">
      <c r="A431" s="4"/>
      <c r="B431" s="33" t="s">
        <v>32</v>
      </c>
      <c r="C431" s="23"/>
      <c r="D431" s="23" t="s">
        <v>33</v>
      </c>
      <c r="E431" s="23" t="s">
        <v>34</v>
      </c>
      <c r="F431" s="23" t="s">
        <v>35</v>
      </c>
      <c r="G431" s="33" t="s">
        <v>36</v>
      </c>
      <c r="H431" s="33" t="s">
        <v>37</v>
      </c>
      <c r="I431" s="33" t="s">
        <v>38</v>
      </c>
      <c r="J431" s="99" t="s">
        <v>39</v>
      </c>
      <c r="K431" s="117"/>
      <c r="L431" s="117"/>
      <c r="M431" s="117"/>
    </row>
    <row r="432" spans="1:13" ht="12.75">
      <c r="A432" s="4"/>
      <c r="B432" s="57" t="s">
        <v>84</v>
      </c>
      <c r="C432" s="35"/>
      <c r="D432" s="35"/>
      <c r="E432" s="35"/>
      <c r="F432" s="35"/>
      <c r="G432" s="34" t="s">
        <v>41</v>
      </c>
      <c r="H432" s="22"/>
      <c r="I432" s="22"/>
      <c r="J432" s="99"/>
      <c r="K432" s="117"/>
      <c r="L432" s="118">
        <v>2</v>
      </c>
      <c r="M432" s="117"/>
    </row>
    <row r="433" spans="1:13" ht="12.75">
      <c r="A433" s="4"/>
      <c r="B433" s="57" t="s">
        <v>85</v>
      </c>
      <c r="C433" s="35"/>
      <c r="D433" s="35"/>
      <c r="E433" s="35"/>
      <c r="F433" s="35"/>
      <c r="G433" s="34" t="s">
        <v>41</v>
      </c>
      <c r="H433" s="22"/>
      <c r="I433" s="22"/>
      <c r="J433" s="99"/>
      <c r="K433" s="117"/>
      <c r="L433" s="117" t="s">
        <v>86</v>
      </c>
      <c r="M433" s="117"/>
    </row>
    <row r="434" spans="1:13" ht="12.75">
      <c r="A434" s="4"/>
      <c r="B434" s="57" t="s">
        <v>87</v>
      </c>
      <c r="C434" s="35"/>
      <c r="D434" s="35"/>
      <c r="E434" s="35"/>
      <c r="F434" s="35"/>
      <c r="G434" s="34" t="s">
        <v>41</v>
      </c>
      <c r="H434" s="22"/>
      <c r="I434" s="22"/>
      <c r="J434" s="99"/>
      <c r="K434" s="117"/>
      <c r="L434" s="117" t="s">
        <v>88</v>
      </c>
      <c r="M434" s="117"/>
    </row>
    <row r="435" spans="1:13" ht="12.75">
      <c r="A435" s="4"/>
      <c r="B435" s="57" t="s">
        <v>89</v>
      </c>
      <c r="C435" s="35"/>
      <c r="D435" s="35"/>
      <c r="E435" s="35"/>
      <c r="F435" s="35"/>
      <c r="G435" s="34" t="s">
        <v>41</v>
      </c>
      <c r="H435" s="22"/>
      <c r="I435" s="22"/>
      <c r="J435" s="99"/>
      <c r="K435" s="117"/>
      <c r="L435" s="117" t="s">
        <v>90</v>
      </c>
      <c r="M435" s="117"/>
    </row>
    <row r="436" spans="1:13" ht="12.75">
      <c r="A436" s="4"/>
      <c r="B436" s="57" t="s">
        <v>91</v>
      </c>
      <c r="C436" s="35"/>
      <c r="D436" s="35"/>
      <c r="E436" s="35"/>
      <c r="F436" s="35"/>
      <c r="G436" s="34" t="s">
        <v>41</v>
      </c>
      <c r="H436" s="22"/>
      <c r="I436" s="22"/>
      <c r="J436" s="99"/>
      <c r="K436" s="117"/>
      <c r="L436" s="117" t="s">
        <v>92</v>
      </c>
      <c r="M436" s="117"/>
    </row>
    <row r="437" spans="1:13" ht="12.75">
      <c r="A437" s="4"/>
      <c r="B437" s="57" t="s">
        <v>93</v>
      </c>
      <c r="C437" s="35"/>
      <c r="D437" s="35"/>
      <c r="E437" s="35"/>
      <c r="F437" s="35"/>
      <c r="G437" s="34" t="s">
        <v>41</v>
      </c>
      <c r="H437" s="22"/>
      <c r="I437" s="22" t="s">
        <v>94</v>
      </c>
      <c r="J437" s="99"/>
      <c r="K437" s="117"/>
      <c r="L437" s="118">
        <v>8045</v>
      </c>
      <c r="M437" s="117"/>
    </row>
    <row r="438" spans="1:13" ht="12.75">
      <c r="A438" s="4"/>
      <c r="B438" s="67" t="s">
        <v>95</v>
      </c>
      <c r="C438" s="68"/>
      <c r="D438" s="68"/>
      <c r="E438" s="68"/>
      <c r="F438" s="68"/>
      <c r="G438" s="68"/>
      <c r="H438" s="7" t="s">
        <v>43</v>
      </c>
      <c r="I438" s="7"/>
      <c r="J438" s="108"/>
      <c r="K438" s="117"/>
      <c r="L438" s="117"/>
      <c r="M438" s="117"/>
    </row>
    <row r="439" spans="1:13" ht="27" customHeight="1">
      <c r="A439" s="4"/>
      <c r="B439" s="57" t="s">
        <v>96</v>
      </c>
      <c r="C439" s="34"/>
      <c r="D439" s="35"/>
      <c r="E439" s="35"/>
      <c r="F439" s="35"/>
      <c r="G439" s="34" t="s">
        <v>41</v>
      </c>
      <c r="H439" s="22"/>
      <c r="I439" s="18" t="s">
        <v>97</v>
      </c>
      <c r="J439" s="99"/>
      <c r="K439" s="117"/>
      <c r="L439" s="117" t="s">
        <v>98</v>
      </c>
      <c r="M439" s="117"/>
    </row>
    <row r="440" spans="1:13" ht="12.75">
      <c r="A440" s="4"/>
      <c r="B440" s="67" t="s">
        <v>99</v>
      </c>
      <c r="C440" s="68"/>
      <c r="D440" s="68"/>
      <c r="E440" s="68"/>
      <c r="F440" s="68"/>
      <c r="G440" s="68"/>
      <c r="H440" s="7" t="s">
        <v>43</v>
      </c>
      <c r="I440" s="7"/>
      <c r="J440" s="108"/>
      <c r="K440" s="117"/>
      <c r="L440" s="117"/>
      <c r="M440" s="117"/>
    </row>
    <row r="441" spans="1:13" ht="12.75">
      <c r="A441" s="4"/>
      <c r="B441" s="57" t="s">
        <v>100</v>
      </c>
      <c r="C441" s="34"/>
      <c r="D441" s="35"/>
      <c r="E441" s="35"/>
      <c r="F441" s="35"/>
      <c r="G441" s="34" t="s">
        <v>41</v>
      </c>
      <c r="H441" s="22"/>
      <c r="I441" s="22"/>
      <c r="J441" s="99"/>
      <c r="K441" s="117"/>
      <c r="L441" s="117" t="s">
        <v>101</v>
      </c>
      <c r="M441" s="117"/>
    </row>
    <row r="442" spans="1:13" ht="12.75">
      <c r="A442" s="4"/>
      <c r="B442" s="57" t="s">
        <v>102</v>
      </c>
      <c r="C442" s="34"/>
      <c r="D442" s="35"/>
      <c r="E442" s="35"/>
      <c r="F442" s="35"/>
      <c r="G442" s="34" t="s">
        <v>41</v>
      </c>
      <c r="H442" s="22"/>
      <c r="I442" s="22"/>
      <c r="J442" s="99"/>
      <c r="K442" s="117"/>
      <c r="L442" s="117" t="s">
        <v>103</v>
      </c>
      <c r="M442" s="117"/>
    </row>
    <row r="443" spans="1:13" ht="12.75">
      <c r="A443" s="4"/>
      <c r="B443" s="67" t="s">
        <v>151</v>
      </c>
      <c r="C443" s="68"/>
      <c r="D443" s="68"/>
      <c r="E443" s="68"/>
      <c r="F443" s="68"/>
      <c r="G443" s="68"/>
      <c r="H443" s="21" t="s">
        <v>43</v>
      </c>
      <c r="I443" s="26"/>
      <c r="J443" s="108"/>
      <c r="K443" s="117"/>
      <c r="L443" s="117"/>
      <c r="M443" s="117"/>
    </row>
    <row r="444" spans="2:13" ht="14.25" customHeight="1">
      <c r="B444" s="29"/>
      <c r="C444" s="29"/>
      <c r="D444" s="29"/>
      <c r="E444" s="29"/>
      <c r="F444" s="29"/>
      <c r="G444" s="29"/>
      <c r="H444" s="29"/>
      <c r="I444" s="29"/>
      <c r="J444" s="29"/>
      <c r="K444" s="117"/>
      <c r="L444" s="117"/>
      <c r="M444" s="117"/>
    </row>
    <row r="445" spans="1:10" ht="12.75">
      <c r="A445" s="50" t="s">
        <v>1037</v>
      </c>
      <c r="B445" s="50"/>
      <c r="C445" s="51"/>
      <c r="D445" s="51"/>
      <c r="E445" s="51"/>
      <c r="F445" s="51"/>
      <c r="G445" s="51"/>
      <c r="H445" s="51"/>
      <c r="I445" s="51"/>
      <c r="J445" s="51"/>
    </row>
    <row r="446" spans="2:8" ht="14.25" customHeight="1">
      <c r="B446" s="3"/>
      <c r="C446" s="3"/>
      <c r="D446" s="3"/>
      <c r="E446" s="3"/>
      <c r="F446" s="3"/>
      <c r="G446" s="3"/>
      <c r="H446" s="3"/>
    </row>
    <row r="447" spans="1:13" ht="12.75">
      <c r="A447" s="4"/>
      <c r="B447" s="98" t="s">
        <v>1038</v>
      </c>
      <c r="C447" s="40" t="s">
        <v>28</v>
      </c>
      <c r="D447" s="40"/>
      <c r="E447" s="40"/>
      <c r="F447" s="40"/>
      <c r="G447" s="40" t="s">
        <v>29</v>
      </c>
      <c r="H447" s="40"/>
      <c r="I447" s="75"/>
      <c r="J447" s="3"/>
      <c r="K447" s="117"/>
      <c r="L447" s="117"/>
      <c r="M447" s="117"/>
    </row>
    <row r="448" spans="1:13" ht="12.75">
      <c r="A448" s="4"/>
      <c r="B448" s="7" t="s">
        <v>32</v>
      </c>
      <c r="C448" s="7"/>
      <c r="D448" s="7" t="s">
        <v>33</v>
      </c>
      <c r="E448" s="7" t="s">
        <v>34</v>
      </c>
      <c r="F448" s="7" t="s">
        <v>35</v>
      </c>
      <c r="G448" s="7" t="s">
        <v>36</v>
      </c>
      <c r="H448" s="7" t="s">
        <v>37</v>
      </c>
      <c r="I448" s="7" t="s">
        <v>38</v>
      </c>
      <c r="J448" s="108" t="s">
        <v>39</v>
      </c>
      <c r="K448" s="117"/>
      <c r="L448" s="117"/>
      <c r="M448" s="117"/>
    </row>
    <row r="449" spans="1:13" ht="12.75">
      <c r="A449" s="4"/>
      <c r="B449" s="67" t="s">
        <v>546</v>
      </c>
      <c r="C449" s="68"/>
      <c r="D449" s="68"/>
      <c r="E449" s="68"/>
      <c r="F449" s="68"/>
      <c r="G449" s="68"/>
      <c r="H449" s="68" t="s">
        <v>43</v>
      </c>
      <c r="I449" s="7"/>
      <c r="J449" s="108"/>
      <c r="K449" s="117"/>
      <c r="L449" s="117"/>
      <c r="M449" s="117"/>
    </row>
    <row r="450" spans="1:13" ht="12.75">
      <c r="A450" s="4"/>
      <c r="B450" s="67" t="s">
        <v>1039</v>
      </c>
      <c r="C450" s="68"/>
      <c r="D450" s="68"/>
      <c r="E450" s="68"/>
      <c r="F450" s="68"/>
      <c r="G450" s="68"/>
      <c r="H450" s="68" t="s">
        <v>43</v>
      </c>
      <c r="I450" s="68"/>
      <c r="J450" s="108"/>
      <c r="K450" s="117"/>
      <c r="L450" s="117"/>
      <c r="M450" s="117"/>
    </row>
    <row r="451" spans="1:13" ht="12.75">
      <c r="A451" s="4"/>
      <c r="B451" s="67" t="s">
        <v>1040</v>
      </c>
      <c r="C451" s="68"/>
      <c r="D451" s="68"/>
      <c r="E451" s="68"/>
      <c r="F451" s="68"/>
      <c r="G451" s="68"/>
      <c r="H451" s="68" t="s">
        <v>43</v>
      </c>
      <c r="I451" s="7"/>
      <c r="J451" s="108"/>
      <c r="K451" s="117"/>
      <c r="L451" s="117"/>
      <c r="M451" s="117"/>
    </row>
    <row r="452" spans="1:13" ht="12.75">
      <c r="A452" s="4"/>
      <c r="B452" s="67" t="s">
        <v>1041</v>
      </c>
      <c r="C452" s="68"/>
      <c r="D452" s="68"/>
      <c r="E452" s="68"/>
      <c r="F452" s="68"/>
      <c r="G452" s="68"/>
      <c r="H452" s="68" t="s">
        <v>43</v>
      </c>
      <c r="I452" s="7"/>
      <c r="J452" s="108"/>
      <c r="K452" s="117"/>
      <c r="L452" s="117"/>
      <c r="M452" s="117"/>
    </row>
    <row r="453" spans="1:13" ht="12.75">
      <c r="A453" s="4"/>
      <c r="B453" s="67" t="s">
        <v>1042</v>
      </c>
      <c r="C453" s="68"/>
      <c r="D453" s="68"/>
      <c r="E453" s="68"/>
      <c r="F453" s="68"/>
      <c r="G453" s="68"/>
      <c r="H453" s="68" t="s">
        <v>43</v>
      </c>
      <c r="I453" s="7"/>
      <c r="J453" s="108"/>
      <c r="K453" s="117"/>
      <c r="L453" s="117"/>
      <c r="M453" s="117"/>
    </row>
    <row r="454" spans="2:13" ht="14.25" customHeight="1">
      <c r="B454" s="29"/>
      <c r="C454" s="29"/>
      <c r="D454" s="29"/>
      <c r="E454" s="29"/>
      <c r="F454" s="29"/>
      <c r="G454" s="29"/>
      <c r="H454" s="29"/>
      <c r="I454" s="29"/>
      <c r="J454" s="29"/>
      <c r="K454" s="117"/>
      <c r="L454" s="117"/>
      <c r="M454" s="117"/>
    </row>
    <row r="455" spans="1:10" ht="12.75">
      <c r="A455" s="50" t="s">
        <v>1043</v>
      </c>
      <c r="B455" s="50"/>
      <c r="C455" s="51"/>
      <c r="D455" s="51"/>
      <c r="E455" s="51"/>
      <c r="F455" s="51"/>
      <c r="G455" s="51"/>
      <c r="H455" s="51"/>
      <c r="I455" s="51"/>
      <c r="J455" s="51"/>
    </row>
    <row r="456" spans="2:8" ht="14.25" customHeight="1">
      <c r="B456" s="3"/>
      <c r="C456" s="3"/>
      <c r="D456" s="3"/>
      <c r="E456" s="3"/>
      <c r="F456" s="3"/>
      <c r="G456" s="3"/>
      <c r="H456" s="3"/>
    </row>
    <row r="457" spans="1:13" ht="12.75">
      <c r="A457" s="4"/>
      <c r="B457" s="30" t="s">
        <v>1044</v>
      </c>
      <c r="C457" s="19" t="s">
        <v>28</v>
      </c>
      <c r="D457" s="19"/>
      <c r="E457" s="19"/>
      <c r="F457" s="19"/>
      <c r="G457" s="31" t="s">
        <v>29</v>
      </c>
      <c r="H457" s="31"/>
      <c r="I457" s="32"/>
      <c r="J457" s="13"/>
      <c r="K457" s="117"/>
      <c r="L457" s="117"/>
      <c r="M457" s="117"/>
    </row>
    <row r="458" spans="1:13" ht="12.75">
      <c r="A458" s="4"/>
      <c r="B458" s="33" t="s">
        <v>32</v>
      </c>
      <c r="C458" s="23"/>
      <c r="D458" s="23" t="s">
        <v>33</v>
      </c>
      <c r="E458" s="23" t="s">
        <v>34</v>
      </c>
      <c r="F458" s="23" t="s">
        <v>35</v>
      </c>
      <c r="G458" s="33" t="s">
        <v>36</v>
      </c>
      <c r="H458" s="33" t="s">
        <v>37</v>
      </c>
      <c r="I458" s="33" t="s">
        <v>38</v>
      </c>
      <c r="J458" s="99" t="s">
        <v>39</v>
      </c>
      <c r="K458" s="117"/>
      <c r="L458" s="117"/>
      <c r="M458" s="117"/>
    </row>
    <row r="459" spans="1:13" ht="156.75" customHeight="1">
      <c r="A459" s="4"/>
      <c r="B459" s="57" t="s">
        <v>168</v>
      </c>
      <c r="C459" s="25"/>
      <c r="D459" s="25"/>
      <c r="E459" s="25"/>
      <c r="F459" s="25"/>
      <c r="G459" s="24" t="s">
        <v>41</v>
      </c>
      <c r="H459" s="24"/>
      <c r="I459" s="24" t="s">
        <v>1045</v>
      </c>
      <c r="J459" s="115">
        <f>HYPERLINK("NetworkAccessRecord!NA_Billing_subscriberID","subscriberID")</f>
        <v>0</v>
      </c>
      <c r="K459" s="117"/>
      <c r="L459" s="117"/>
      <c r="M459" s="117"/>
    </row>
    <row r="460" spans="1:13" ht="64.5">
      <c r="A460" s="4"/>
      <c r="B460" s="57" t="s">
        <v>277</v>
      </c>
      <c r="C460" s="25"/>
      <c r="D460" s="25"/>
      <c r="E460" s="25"/>
      <c r="F460" s="25"/>
      <c r="G460" s="24" t="s">
        <v>41</v>
      </c>
      <c r="H460" s="24"/>
      <c r="I460" s="24" t="s">
        <v>1046</v>
      </c>
      <c r="J460" s="115">
        <f>HYPERLINK("NetworkAccessRecord!NA_Billing_serviceID","serviceID")</f>
        <v>0</v>
      </c>
      <c r="K460" s="117"/>
      <c r="L460" s="117"/>
      <c r="M460" s="117"/>
    </row>
    <row r="461" spans="1:13" ht="13.5">
      <c r="A461" s="4"/>
      <c r="B461" s="57" t="s">
        <v>252</v>
      </c>
      <c r="C461" s="25"/>
      <c r="D461" s="25"/>
      <c r="E461" s="25"/>
      <c r="F461" s="25"/>
      <c r="G461" s="24" t="s">
        <v>41</v>
      </c>
      <c r="H461" s="24"/>
      <c r="I461" s="27">
        <f>HYPERLINK("NetworkAccessRecord!NA_Billing_ContactDetails","ContactDetails")</f>
        <v>0</v>
      </c>
      <c r="J461" s="101"/>
      <c r="K461" s="117"/>
      <c r="L461" s="117"/>
      <c r="M461" s="117"/>
    </row>
    <row r="462" spans="1:13" ht="71.25" customHeight="1">
      <c r="A462" s="4"/>
      <c r="B462" s="57" t="s">
        <v>278</v>
      </c>
      <c r="C462" s="25"/>
      <c r="D462" s="25"/>
      <c r="E462" s="25"/>
      <c r="F462" s="25"/>
      <c r="G462" s="24" t="s">
        <v>41</v>
      </c>
      <c r="H462" s="24"/>
      <c r="I462" s="24" t="s">
        <v>1047</v>
      </c>
      <c r="J462" s="115">
        <f>HYPERLINK("NetworkAccessRecord!NA_Billing_billingIdentifier","billingIdentifier")</f>
        <v>0</v>
      </c>
      <c r="K462" s="117"/>
      <c r="L462" s="117"/>
      <c r="M462" s="117"/>
    </row>
    <row r="463" spans="1:13" ht="13.5">
      <c r="A463" s="4"/>
      <c r="B463" s="57" t="s">
        <v>280</v>
      </c>
      <c r="C463" s="25"/>
      <c r="D463" s="25"/>
      <c r="E463" s="25"/>
      <c r="F463" s="25"/>
      <c r="G463" s="24" t="s">
        <v>41</v>
      </c>
      <c r="H463" s="24"/>
      <c r="I463" s="27">
        <f>HYPERLINK("NetworkAccessRecord!NA_Billing_BillingRecords","BillingRecords")</f>
        <v>0</v>
      </c>
      <c r="J463" s="101"/>
      <c r="K463" s="117"/>
      <c r="L463" s="117"/>
      <c r="M463" s="117"/>
    </row>
    <row r="464" spans="1:13" ht="153.75">
      <c r="A464" s="4"/>
      <c r="B464" s="80" t="s">
        <v>1048</v>
      </c>
      <c r="C464" s="45"/>
      <c r="D464" s="45"/>
      <c r="E464" s="45"/>
      <c r="F464" s="45"/>
      <c r="G464" s="45"/>
      <c r="H464" s="45" t="s">
        <v>59</v>
      </c>
      <c r="I464" s="45" t="s">
        <v>1049</v>
      </c>
      <c r="J464" s="130"/>
      <c r="K464" s="117"/>
      <c r="L464" s="117"/>
      <c r="M464" s="117"/>
    </row>
    <row r="465" spans="1:13" ht="153.75">
      <c r="A465" s="4"/>
      <c r="B465" s="80" t="s">
        <v>1050</v>
      </c>
      <c r="C465" s="45"/>
      <c r="D465" s="45"/>
      <c r="E465" s="45"/>
      <c r="F465" s="45"/>
      <c r="G465" s="45"/>
      <c r="H465" s="45" t="s">
        <v>59</v>
      </c>
      <c r="I465" s="45" t="s">
        <v>1051</v>
      </c>
      <c r="J465" s="130"/>
      <c r="K465" s="117"/>
      <c r="L465" s="117"/>
      <c r="M465" s="117"/>
    </row>
    <row r="466" spans="2:13" ht="12.75">
      <c r="B466" s="60"/>
      <c r="C466" s="54"/>
      <c r="D466" s="54"/>
      <c r="E466" s="54"/>
      <c r="F466" s="54"/>
      <c r="G466" s="54"/>
      <c r="H466" s="54"/>
      <c r="I466" s="54"/>
      <c r="J466" s="54"/>
      <c r="K466" s="117"/>
      <c r="L466" s="117"/>
      <c r="M466" s="117"/>
    </row>
    <row r="467" spans="1:14" ht="57" customHeight="1">
      <c r="A467" s="4"/>
      <c r="B467" s="36" t="s">
        <v>1052</v>
      </c>
      <c r="C467" s="36"/>
      <c r="D467" s="36"/>
      <c r="E467" s="36"/>
      <c r="F467" s="36"/>
      <c r="G467" s="37" t="s">
        <v>52</v>
      </c>
      <c r="H467" s="37"/>
      <c r="I467" s="37"/>
      <c r="J467" s="37"/>
      <c r="K467" s="117"/>
      <c r="L467" s="117"/>
      <c r="M467" s="117"/>
      <c r="N467" s="117"/>
    </row>
    <row r="468" spans="1:14" ht="26.25" customHeight="1">
      <c r="A468" s="4"/>
      <c r="B468" s="38" t="s">
        <v>1053</v>
      </c>
      <c r="C468" s="38"/>
      <c r="D468" s="38"/>
      <c r="E468" s="38"/>
      <c r="F468" s="38"/>
      <c r="G468" s="25"/>
      <c r="H468" s="25"/>
      <c r="I468" s="25"/>
      <c r="J468" s="25"/>
      <c r="K468" s="117"/>
      <c r="L468" s="117"/>
      <c r="M468" s="117"/>
      <c r="N468" s="117"/>
    </row>
    <row r="469" spans="2:13" ht="14.25" customHeight="1">
      <c r="B469" s="10"/>
      <c r="C469" s="10"/>
      <c r="D469" s="10"/>
      <c r="E469" s="10"/>
      <c r="F469" s="10"/>
      <c r="G469" s="10"/>
      <c r="H469" s="10"/>
      <c r="I469" s="10"/>
      <c r="J469" s="10"/>
      <c r="K469" s="117"/>
      <c r="L469" s="117"/>
      <c r="M469" s="117"/>
    </row>
    <row r="470" spans="1:14" ht="57" customHeight="1">
      <c r="A470" s="4"/>
      <c r="B470" s="36" t="s">
        <v>1054</v>
      </c>
      <c r="C470" s="36"/>
      <c r="D470" s="36"/>
      <c r="E470" s="36"/>
      <c r="F470" s="36"/>
      <c r="G470" s="37" t="s">
        <v>52</v>
      </c>
      <c r="H470" s="37"/>
      <c r="I470" s="37"/>
      <c r="J470" s="37"/>
      <c r="K470" s="117"/>
      <c r="L470" s="117"/>
      <c r="M470" s="117"/>
      <c r="N470" s="117"/>
    </row>
    <row r="471" spans="1:14" ht="13.5" customHeight="1">
      <c r="A471" s="4"/>
      <c r="B471" s="38" t="s">
        <v>875</v>
      </c>
      <c r="C471" s="38"/>
      <c r="D471" s="38"/>
      <c r="E471" s="38"/>
      <c r="F471" s="38"/>
      <c r="G471" s="25"/>
      <c r="H471" s="25"/>
      <c r="I471" s="25"/>
      <c r="J471" s="25"/>
      <c r="K471" s="117"/>
      <c r="L471" s="117"/>
      <c r="M471" s="117"/>
      <c r="N471" s="117"/>
    </row>
    <row r="472" spans="2:13" ht="12.75">
      <c r="B472" s="78"/>
      <c r="C472" s="78"/>
      <c r="D472" s="78"/>
      <c r="E472" s="78"/>
      <c r="F472" s="78"/>
      <c r="G472" s="54"/>
      <c r="H472" s="54"/>
      <c r="I472" s="54"/>
      <c r="J472" s="54"/>
      <c r="K472" s="117"/>
      <c r="L472" s="117"/>
      <c r="M472" s="117"/>
    </row>
    <row r="473" spans="1:14" ht="57" customHeight="1">
      <c r="A473" s="4"/>
      <c r="B473" s="36" t="s">
        <v>1055</v>
      </c>
      <c r="C473" s="36"/>
      <c r="D473" s="36"/>
      <c r="E473" s="36"/>
      <c r="F473" s="36"/>
      <c r="G473" s="37" t="s">
        <v>52</v>
      </c>
      <c r="H473" s="37"/>
      <c r="I473" s="37"/>
      <c r="J473" s="37"/>
      <c r="K473" s="117"/>
      <c r="L473" s="117"/>
      <c r="M473" s="117"/>
      <c r="N473" s="117"/>
    </row>
    <row r="474" spans="1:14" ht="26.25" customHeight="1">
      <c r="A474" s="4"/>
      <c r="B474" s="38" t="s">
        <v>284</v>
      </c>
      <c r="C474" s="38"/>
      <c r="D474" s="38"/>
      <c r="E474" s="38"/>
      <c r="F474" s="38"/>
      <c r="G474" s="25"/>
      <c r="H474" s="25"/>
      <c r="I474" s="25"/>
      <c r="J474" s="25"/>
      <c r="K474" s="117"/>
      <c r="L474" s="117"/>
      <c r="M474" s="117"/>
      <c r="N474" s="117"/>
    </row>
    <row r="475" spans="2:13" ht="14.25" customHeight="1">
      <c r="B475" s="10"/>
      <c r="C475" s="10"/>
      <c r="D475" s="10"/>
      <c r="E475" s="10"/>
      <c r="F475" s="10"/>
      <c r="G475" s="10"/>
      <c r="H475" s="10"/>
      <c r="I475" s="29"/>
      <c r="J475" s="29"/>
      <c r="K475" s="117"/>
      <c r="L475" s="117"/>
      <c r="M475" s="117"/>
    </row>
    <row r="476" spans="1:13" ht="12.75">
      <c r="A476" s="4"/>
      <c r="B476" s="30" t="s">
        <v>1056</v>
      </c>
      <c r="C476" s="19" t="s">
        <v>28</v>
      </c>
      <c r="D476" s="19"/>
      <c r="E476" s="19"/>
      <c r="F476" s="19"/>
      <c r="G476" s="31" t="s">
        <v>29</v>
      </c>
      <c r="H476" s="31"/>
      <c r="I476" s="32"/>
      <c r="J476" s="13"/>
      <c r="K476" s="117"/>
      <c r="L476" s="117"/>
      <c r="M476" s="117"/>
    </row>
    <row r="477" spans="1:13" ht="12.75">
      <c r="A477" s="4"/>
      <c r="B477" s="33" t="s">
        <v>32</v>
      </c>
      <c r="C477" s="23"/>
      <c r="D477" s="23" t="s">
        <v>33</v>
      </c>
      <c r="E477" s="23" t="s">
        <v>34</v>
      </c>
      <c r="F477" s="23" t="s">
        <v>35</v>
      </c>
      <c r="G477" s="33" t="s">
        <v>36</v>
      </c>
      <c r="H477" s="33" t="s">
        <v>37</v>
      </c>
      <c r="I477" s="33" t="s">
        <v>38</v>
      </c>
      <c r="J477" s="99" t="s">
        <v>39</v>
      </c>
      <c r="K477" s="117"/>
      <c r="L477" s="117"/>
      <c r="M477" s="117"/>
    </row>
    <row r="478" spans="1:13" ht="12.75">
      <c r="A478" s="4"/>
      <c r="B478" s="63" t="s">
        <v>74</v>
      </c>
      <c r="C478" s="23"/>
      <c r="D478" s="23"/>
      <c r="E478" s="23"/>
      <c r="F478" s="23"/>
      <c r="G478" s="22" t="s">
        <v>41</v>
      </c>
      <c r="H478" s="22"/>
      <c r="I478" s="59">
        <f>HYPERLINK("NetworkAccessRecord!NA_Billing_AddressInformation","AddressInformation")</f>
        <v>0</v>
      </c>
      <c r="J478" s="99"/>
      <c r="K478" s="117"/>
      <c r="L478" s="117" t="s">
        <v>419</v>
      </c>
      <c r="M478" s="117"/>
    </row>
    <row r="479" spans="1:13" ht="12.75">
      <c r="A479" s="4"/>
      <c r="B479" s="57" t="s">
        <v>76</v>
      </c>
      <c r="C479" s="35"/>
      <c r="D479" s="35"/>
      <c r="E479" s="35"/>
      <c r="F479" s="35"/>
      <c r="G479" s="34" t="s">
        <v>41</v>
      </c>
      <c r="H479" s="22"/>
      <c r="I479" s="22"/>
      <c r="J479" s="99"/>
      <c r="K479" s="117"/>
      <c r="L479" s="117" t="s">
        <v>578</v>
      </c>
      <c r="M479" s="117"/>
    </row>
    <row r="480" spans="1:13" ht="26.25">
      <c r="A480" s="4"/>
      <c r="B480" s="57" t="s">
        <v>78</v>
      </c>
      <c r="C480" s="35"/>
      <c r="D480" s="35"/>
      <c r="E480" s="35"/>
      <c r="F480" s="35"/>
      <c r="G480" s="34" t="s">
        <v>41</v>
      </c>
      <c r="H480" s="22"/>
      <c r="I480" s="24" t="s">
        <v>79</v>
      </c>
      <c r="J480" s="99"/>
      <c r="K480" s="117"/>
      <c r="L480" s="118">
        <v>41712985849</v>
      </c>
      <c r="M480" s="117"/>
    </row>
    <row r="481" spans="1:13" ht="26.25">
      <c r="A481" s="4"/>
      <c r="B481" s="57" t="s">
        <v>80</v>
      </c>
      <c r="C481" s="35"/>
      <c r="D481" s="35"/>
      <c r="E481" s="35"/>
      <c r="F481" s="35"/>
      <c r="G481" s="34" t="s">
        <v>41</v>
      </c>
      <c r="H481" s="22"/>
      <c r="I481" s="24" t="s">
        <v>81</v>
      </c>
      <c r="J481" s="99"/>
      <c r="K481" s="117"/>
      <c r="L481" s="117" t="s">
        <v>86</v>
      </c>
      <c r="M481" s="117"/>
    </row>
    <row r="482" spans="2:13" ht="14.25" customHeight="1">
      <c r="B482" s="10"/>
      <c r="C482" s="10"/>
      <c r="D482" s="10"/>
      <c r="E482" s="10"/>
      <c r="F482" s="10"/>
      <c r="G482" s="10"/>
      <c r="H482" s="10"/>
      <c r="I482" s="29"/>
      <c r="J482" s="29"/>
      <c r="K482" s="117"/>
      <c r="L482" s="117"/>
      <c r="M482" s="117"/>
    </row>
    <row r="483" spans="1:13" ht="12.75">
      <c r="A483" s="4"/>
      <c r="B483" s="30" t="s">
        <v>83</v>
      </c>
      <c r="C483" s="19" t="s">
        <v>28</v>
      </c>
      <c r="D483" s="19"/>
      <c r="E483" s="19"/>
      <c r="F483" s="19"/>
      <c r="G483" s="31" t="s">
        <v>29</v>
      </c>
      <c r="H483" s="31"/>
      <c r="I483" s="32"/>
      <c r="J483" s="13"/>
      <c r="K483" s="117"/>
      <c r="L483" s="117"/>
      <c r="M483" s="117"/>
    </row>
    <row r="484" spans="1:13" ht="12.75">
      <c r="A484" s="4"/>
      <c r="B484" s="33" t="s">
        <v>32</v>
      </c>
      <c r="C484" s="23"/>
      <c r="D484" s="23" t="s">
        <v>33</v>
      </c>
      <c r="E484" s="23" t="s">
        <v>34</v>
      </c>
      <c r="F484" s="23" t="s">
        <v>35</v>
      </c>
      <c r="G484" s="33" t="s">
        <v>36</v>
      </c>
      <c r="H484" s="33" t="s">
        <v>37</v>
      </c>
      <c r="I484" s="33" t="s">
        <v>38</v>
      </c>
      <c r="J484" s="99" t="s">
        <v>39</v>
      </c>
      <c r="K484" s="117"/>
      <c r="L484" s="117"/>
      <c r="M484" s="117"/>
    </row>
    <row r="485" spans="1:13" ht="12.75">
      <c r="A485" s="4"/>
      <c r="B485" s="57" t="s">
        <v>84</v>
      </c>
      <c r="C485" s="35"/>
      <c r="D485" s="35"/>
      <c r="E485" s="35"/>
      <c r="F485" s="35"/>
      <c r="G485" s="34" t="s">
        <v>41</v>
      </c>
      <c r="H485" s="22"/>
      <c r="I485" s="22"/>
      <c r="J485" s="99"/>
      <c r="K485" s="117"/>
      <c r="L485" s="118">
        <v>2</v>
      </c>
      <c r="M485" s="118"/>
    </row>
    <row r="486" spans="1:13" ht="12.75">
      <c r="A486" s="4"/>
      <c r="B486" s="57" t="s">
        <v>85</v>
      </c>
      <c r="C486" s="35"/>
      <c r="D486" s="35"/>
      <c r="E486" s="35"/>
      <c r="F486" s="35"/>
      <c r="G486" s="34" t="s">
        <v>41</v>
      </c>
      <c r="H486" s="22"/>
      <c r="I486" s="22"/>
      <c r="J486" s="99"/>
      <c r="K486" s="117"/>
      <c r="L486" s="117" t="s">
        <v>86</v>
      </c>
      <c r="M486" s="117"/>
    </row>
    <row r="487" spans="1:13" ht="12.75">
      <c r="A487" s="4"/>
      <c r="B487" s="57" t="s">
        <v>87</v>
      </c>
      <c r="C487" s="35"/>
      <c r="D487" s="35"/>
      <c r="E487" s="35"/>
      <c r="F487" s="35"/>
      <c r="G487" s="34" t="s">
        <v>41</v>
      </c>
      <c r="H487" s="22"/>
      <c r="I487" s="22"/>
      <c r="J487" s="99"/>
      <c r="K487" s="117"/>
      <c r="L487" s="117" t="s">
        <v>88</v>
      </c>
      <c r="M487" s="117"/>
    </row>
    <row r="488" spans="1:13" ht="12.75">
      <c r="A488" s="4"/>
      <c r="B488" s="57" t="s">
        <v>89</v>
      </c>
      <c r="C488" s="35"/>
      <c r="D488" s="35"/>
      <c r="E488" s="35"/>
      <c r="F488" s="35"/>
      <c r="G488" s="34" t="s">
        <v>41</v>
      </c>
      <c r="H488" s="22"/>
      <c r="I488" s="22"/>
      <c r="J488" s="99"/>
      <c r="K488" s="117"/>
      <c r="L488" s="117" t="s">
        <v>90</v>
      </c>
      <c r="M488" s="117"/>
    </row>
    <row r="489" spans="1:13" ht="12.75">
      <c r="A489" s="4"/>
      <c r="B489" s="57" t="s">
        <v>91</v>
      </c>
      <c r="C489" s="35"/>
      <c r="D489" s="35"/>
      <c r="E489" s="35"/>
      <c r="F489" s="35"/>
      <c r="G489" s="34" t="s">
        <v>41</v>
      </c>
      <c r="H489" s="22"/>
      <c r="I489" s="22"/>
      <c r="J489" s="99"/>
      <c r="K489" s="117"/>
      <c r="L489" s="117" t="s">
        <v>92</v>
      </c>
      <c r="M489" s="117"/>
    </row>
    <row r="490" spans="1:13" ht="12.75">
      <c r="A490" s="4"/>
      <c r="B490" s="57" t="s">
        <v>93</v>
      </c>
      <c r="C490" s="35"/>
      <c r="D490" s="35"/>
      <c r="E490" s="35"/>
      <c r="F490" s="35"/>
      <c r="G490" s="34" t="s">
        <v>41</v>
      </c>
      <c r="H490" s="22"/>
      <c r="I490" s="22" t="s">
        <v>94</v>
      </c>
      <c r="J490" s="99"/>
      <c r="K490" s="117"/>
      <c r="L490" s="118">
        <v>8045</v>
      </c>
      <c r="M490" s="118"/>
    </row>
    <row r="491" spans="1:13" ht="12.75">
      <c r="A491" s="4"/>
      <c r="B491" s="67" t="s">
        <v>95</v>
      </c>
      <c r="C491" s="68"/>
      <c r="D491" s="68"/>
      <c r="E491" s="68"/>
      <c r="F491" s="68"/>
      <c r="G491" s="68"/>
      <c r="H491" s="7" t="s">
        <v>43</v>
      </c>
      <c r="I491" s="7"/>
      <c r="J491" s="108"/>
      <c r="K491" s="117"/>
      <c r="L491" s="117"/>
      <c r="M491" s="117"/>
    </row>
    <row r="492" spans="1:13" ht="27" customHeight="1">
      <c r="A492" s="4"/>
      <c r="B492" s="57" t="s">
        <v>96</v>
      </c>
      <c r="C492" s="34"/>
      <c r="D492" s="35"/>
      <c r="E492" s="35"/>
      <c r="F492" s="35"/>
      <c r="G492" s="34" t="s">
        <v>41</v>
      </c>
      <c r="H492" s="22"/>
      <c r="I492" s="18" t="s">
        <v>97</v>
      </c>
      <c r="J492" s="99"/>
      <c r="K492" s="117"/>
      <c r="L492" s="117" t="s">
        <v>98</v>
      </c>
      <c r="M492" s="117"/>
    </row>
    <row r="493" spans="1:13" ht="12.75">
      <c r="A493" s="4"/>
      <c r="B493" s="67" t="s">
        <v>99</v>
      </c>
      <c r="C493" s="68"/>
      <c r="D493" s="68"/>
      <c r="E493" s="68"/>
      <c r="F493" s="68"/>
      <c r="G493" s="68"/>
      <c r="H493" s="7" t="s">
        <v>43</v>
      </c>
      <c r="I493" s="7"/>
      <c r="J493" s="108"/>
      <c r="K493" s="117"/>
      <c r="L493" s="117"/>
      <c r="M493" s="117"/>
    </row>
    <row r="494" spans="1:13" ht="12.75">
      <c r="A494" s="4"/>
      <c r="B494" s="57" t="s">
        <v>100</v>
      </c>
      <c r="C494" s="34"/>
      <c r="D494" s="35"/>
      <c r="E494" s="35"/>
      <c r="F494" s="35"/>
      <c r="G494" s="34" t="s">
        <v>41</v>
      </c>
      <c r="H494" s="22"/>
      <c r="I494" s="22"/>
      <c r="J494" s="99"/>
      <c r="K494" s="117"/>
      <c r="L494" s="117" t="s">
        <v>101</v>
      </c>
      <c r="M494" s="117"/>
    </row>
    <row r="495" spans="1:13" ht="12.75">
      <c r="A495" s="4"/>
      <c r="B495" s="57" t="s">
        <v>102</v>
      </c>
      <c r="C495" s="34"/>
      <c r="D495" s="35"/>
      <c r="E495" s="35"/>
      <c r="F495" s="35"/>
      <c r="G495" s="34" t="s">
        <v>41</v>
      </c>
      <c r="H495" s="22"/>
      <c r="I495" s="22"/>
      <c r="J495" s="99"/>
      <c r="K495" s="117"/>
      <c r="L495" s="117" t="s">
        <v>103</v>
      </c>
      <c r="M495" s="117"/>
    </row>
    <row r="496" spans="1:13" ht="12.75">
      <c r="A496" s="4"/>
      <c r="B496" s="57" t="s">
        <v>242</v>
      </c>
      <c r="C496" s="34"/>
      <c r="D496" s="35"/>
      <c r="E496" s="35"/>
      <c r="F496" s="35"/>
      <c r="G496" s="34" t="s">
        <v>41</v>
      </c>
      <c r="H496" s="22"/>
      <c r="I496" s="59">
        <f>HYPERLINK("NetworkAccessRecord!NA_Billing_Address_TimeSpan","TimeSpan")</f>
        <v>0</v>
      </c>
      <c r="J496" s="99"/>
      <c r="K496" s="117"/>
      <c r="L496" s="117" t="s">
        <v>189</v>
      </c>
      <c r="M496" s="117"/>
    </row>
    <row r="497" spans="2:13" ht="14.25" customHeight="1">
      <c r="B497" s="60"/>
      <c r="C497" s="79"/>
      <c r="D497" s="79"/>
      <c r="E497" s="79"/>
      <c r="F497" s="79"/>
      <c r="G497" s="79"/>
      <c r="H497" s="10"/>
      <c r="I497" s="29"/>
      <c r="J497" s="29"/>
      <c r="K497" s="117"/>
      <c r="L497" s="117"/>
      <c r="M497" s="117"/>
    </row>
    <row r="498" spans="1:13" ht="12.75">
      <c r="A498" s="4"/>
      <c r="B498" s="30" t="s">
        <v>231</v>
      </c>
      <c r="C498" s="19" t="s">
        <v>28</v>
      </c>
      <c r="D498" s="19"/>
      <c r="E498" s="19"/>
      <c r="F498" s="19"/>
      <c r="G498" s="31" t="s">
        <v>29</v>
      </c>
      <c r="H498" s="31"/>
      <c r="I498" s="32"/>
      <c r="J498" s="13"/>
      <c r="K498" s="117"/>
      <c r="L498" s="117"/>
      <c r="M498" s="117"/>
    </row>
    <row r="499" spans="1:13" ht="12.75">
      <c r="A499" s="4"/>
      <c r="B499" s="33" t="s">
        <v>32</v>
      </c>
      <c r="C499" s="23"/>
      <c r="D499" s="23" t="s">
        <v>33</v>
      </c>
      <c r="E499" s="23" t="s">
        <v>34</v>
      </c>
      <c r="F499" s="23" t="s">
        <v>35</v>
      </c>
      <c r="G499" s="33" t="s">
        <v>36</v>
      </c>
      <c r="H499" s="33" t="s">
        <v>37</v>
      </c>
      <c r="I499" s="33" t="s">
        <v>38</v>
      </c>
      <c r="J499" s="99" t="s">
        <v>39</v>
      </c>
      <c r="K499" s="117"/>
      <c r="L499" s="117"/>
      <c r="M499" s="117"/>
    </row>
    <row r="500" spans="1:13" ht="13.5">
      <c r="A500" s="4"/>
      <c r="B500" s="57" t="s">
        <v>106</v>
      </c>
      <c r="C500" s="25"/>
      <c r="D500" s="25"/>
      <c r="E500" s="25"/>
      <c r="F500" s="25"/>
      <c r="G500" s="24" t="s">
        <v>41</v>
      </c>
      <c r="H500" s="24"/>
      <c r="I500" s="24"/>
      <c r="J500" s="101"/>
      <c r="K500" s="117"/>
      <c r="L500" s="117" t="s">
        <v>1057</v>
      </c>
      <c r="M500" s="117"/>
    </row>
    <row r="501" spans="1:13" ht="13.5">
      <c r="A501" s="4"/>
      <c r="B501" s="57" t="s">
        <v>108</v>
      </c>
      <c r="C501" s="25"/>
      <c r="D501" s="25"/>
      <c r="E501" s="25"/>
      <c r="F501" s="25"/>
      <c r="G501" s="24" t="s">
        <v>41</v>
      </c>
      <c r="H501" s="24"/>
      <c r="I501" s="24"/>
      <c r="J501" s="101"/>
      <c r="K501" s="117"/>
      <c r="L501" s="117" t="s">
        <v>86</v>
      </c>
      <c r="M501" s="117"/>
    </row>
    <row r="502" spans="1:13" ht="13.5">
      <c r="A502" s="4"/>
      <c r="B502" s="67" t="s">
        <v>109</v>
      </c>
      <c r="C502" s="26"/>
      <c r="D502" s="26"/>
      <c r="E502" s="26"/>
      <c r="F502" s="26"/>
      <c r="G502" s="26"/>
      <c r="H502" s="26" t="s">
        <v>43</v>
      </c>
      <c r="I502" s="26"/>
      <c r="J502" s="102"/>
      <c r="K502" s="117"/>
      <c r="L502" s="117"/>
      <c r="M502" s="117"/>
    </row>
    <row r="503" spans="2:13" ht="14.25" customHeight="1">
      <c r="B503" s="10"/>
      <c r="C503" s="10"/>
      <c r="D503" s="10"/>
      <c r="E503" s="10"/>
      <c r="F503" s="10"/>
      <c r="G503" s="10"/>
      <c r="H503" s="10"/>
      <c r="I503" s="10"/>
      <c r="J503" s="10"/>
      <c r="K503" s="117"/>
      <c r="L503" s="117"/>
      <c r="M503" s="117"/>
    </row>
    <row r="504" spans="1:13" ht="39" customHeight="1">
      <c r="A504" s="4"/>
      <c r="B504" s="30" t="s">
        <v>286</v>
      </c>
      <c r="C504" s="19" t="s">
        <v>28</v>
      </c>
      <c r="D504" s="19"/>
      <c r="E504" s="19"/>
      <c r="F504" s="19"/>
      <c r="G504" s="31" t="s">
        <v>29</v>
      </c>
      <c r="H504" s="31"/>
      <c r="I504" s="131" t="s">
        <v>1058</v>
      </c>
      <c r="J504" s="131"/>
      <c r="K504" s="117"/>
      <c r="L504" s="117"/>
      <c r="M504" s="117"/>
    </row>
    <row r="505" spans="1:13" ht="12.75">
      <c r="A505" s="4"/>
      <c r="B505" s="33" t="s">
        <v>32</v>
      </c>
      <c r="C505" s="23"/>
      <c r="D505" s="23" t="s">
        <v>33</v>
      </c>
      <c r="E505" s="23" t="s">
        <v>34</v>
      </c>
      <c r="F505" s="23" t="s">
        <v>35</v>
      </c>
      <c r="G505" s="33" t="s">
        <v>36</v>
      </c>
      <c r="H505" s="33" t="s">
        <v>37</v>
      </c>
      <c r="I505" s="33" t="s">
        <v>38</v>
      </c>
      <c r="J505" s="99" t="s">
        <v>39</v>
      </c>
      <c r="K505" s="117"/>
      <c r="L505" s="117"/>
      <c r="M505" s="117"/>
    </row>
    <row r="506" spans="1:13" ht="13.5">
      <c r="A506" s="4"/>
      <c r="B506" s="57" t="s">
        <v>287</v>
      </c>
      <c r="C506" s="35"/>
      <c r="D506" s="35"/>
      <c r="E506" s="35"/>
      <c r="F506" s="35"/>
      <c r="G506" s="34" t="s">
        <v>41</v>
      </c>
      <c r="H506" s="22"/>
      <c r="I506" s="22" t="s">
        <v>115</v>
      </c>
      <c r="J506" s="99"/>
      <c r="K506" s="117"/>
      <c r="L506" s="117" t="s">
        <v>1059</v>
      </c>
      <c r="M506" s="117"/>
    </row>
    <row r="507" spans="1:13" ht="12.75">
      <c r="A507" s="4"/>
      <c r="B507" s="57" t="s">
        <v>288</v>
      </c>
      <c r="C507" s="35"/>
      <c r="D507" s="35"/>
      <c r="E507" s="35"/>
      <c r="F507" s="35"/>
      <c r="G507" s="34" t="s">
        <v>41</v>
      </c>
      <c r="H507" s="22"/>
      <c r="I507" s="22" t="s">
        <v>123</v>
      </c>
      <c r="J507" s="99"/>
      <c r="K507" s="117"/>
      <c r="L507" s="117" t="s">
        <v>101</v>
      </c>
      <c r="M507" s="117"/>
    </row>
    <row r="508" spans="1:13" ht="12.75">
      <c r="A508" s="4"/>
      <c r="B508" s="57" t="s">
        <v>289</v>
      </c>
      <c r="C508" s="35"/>
      <c r="D508" s="35"/>
      <c r="E508" s="35"/>
      <c r="F508" s="35"/>
      <c r="G508" s="34" t="s">
        <v>41</v>
      </c>
      <c r="H508" s="22"/>
      <c r="I508" s="22" t="s">
        <v>290</v>
      </c>
      <c r="J508" s="99"/>
      <c r="K508" s="117"/>
      <c r="L508" s="118">
        <v>79</v>
      </c>
      <c r="M508" s="118"/>
    </row>
    <row r="509" spans="1:13" ht="12.75">
      <c r="A509" s="4"/>
      <c r="B509" s="57" t="s">
        <v>291</v>
      </c>
      <c r="C509" s="35"/>
      <c r="D509" s="35"/>
      <c r="E509" s="35"/>
      <c r="F509" s="35"/>
      <c r="G509" s="34" t="s">
        <v>41</v>
      </c>
      <c r="H509" s="22"/>
      <c r="I509" s="22" t="s">
        <v>123</v>
      </c>
      <c r="J509" s="99"/>
      <c r="K509" s="117"/>
      <c r="L509" s="117" t="s">
        <v>683</v>
      </c>
      <c r="M509" s="117"/>
    </row>
    <row r="510" spans="1:13" ht="13.5">
      <c r="A510" s="4"/>
      <c r="B510" s="57" t="s">
        <v>292</v>
      </c>
      <c r="C510" s="35"/>
      <c r="D510" s="35"/>
      <c r="E510" s="35"/>
      <c r="F510" s="35"/>
      <c r="G510" s="34" t="s">
        <v>41</v>
      </c>
      <c r="H510" s="22"/>
      <c r="I510" s="22" t="s">
        <v>293</v>
      </c>
      <c r="J510" s="99"/>
      <c r="K510" s="117"/>
      <c r="L510" s="117" t="s">
        <v>684</v>
      </c>
      <c r="M510" s="117"/>
    </row>
    <row r="511" spans="1:13" ht="12.75">
      <c r="A511" s="4"/>
      <c r="B511" s="57"/>
      <c r="C511" s="35"/>
      <c r="D511" s="35"/>
      <c r="E511" s="35"/>
      <c r="F511" s="35"/>
      <c r="G511" s="34"/>
      <c r="H511" s="22"/>
      <c r="I511" s="22"/>
      <c r="J511" s="99"/>
      <c r="K511" s="117"/>
      <c r="L511" s="117"/>
      <c r="M511" s="117"/>
    </row>
    <row r="512" spans="1:13" ht="12.75">
      <c r="A512" s="4"/>
      <c r="B512" s="57"/>
      <c r="C512" s="35"/>
      <c r="D512" s="35"/>
      <c r="E512" s="35"/>
      <c r="F512" s="35"/>
      <c r="G512" s="34"/>
      <c r="H512" s="22"/>
      <c r="I512" s="22"/>
      <c r="J512" s="99"/>
      <c r="K512" s="117"/>
      <c r="L512" s="117"/>
      <c r="M512" s="117"/>
    </row>
    <row r="513" spans="1:13" ht="12.75">
      <c r="A513" s="4"/>
      <c r="B513" s="57"/>
      <c r="C513" s="35"/>
      <c r="D513" s="35"/>
      <c r="E513" s="35"/>
      <c r="F513" s="35"/>
      <c r="G513" s="34"/>
      <c r="H513" s="22"/>
      <c r="I513" s="22"/>
      <c r="J513" s="99"/>
      <c r="K513" s="117"/>
      <c r="L513" s="117"/>
      <c r="M513" s="117"/>
    </row>
  </sheetData>
  <sheetProtection selectLockedCells="1" selectUnlockedCells="1"/>
  <mergeCells count="154">
    <mergeCell ref="B12:F12"/>
    <mergeCell ref="C14:F14"/>
    <mergeCell ref="G14:H14"/>
    <mergeCell ref="C22:F22"/>
    <mergeCell ref="G22:H22"/>
    <mergeCell ref="B28:F28"/>
    <mergeCell ref="G28:J28"/>
    <mergeCell ref="B29:F29"/>
    <mergeCell ref="G29:J29"/>
    <mergeCell ref="B31:F31"/>
    <mergeCell ref="G31:J31"/>
    <mergeCell ref="B32:F32"/>
    <mergeCell ref="G32:J32"/>
    <mergeCell ref="C34:F34"/>
    <mergeCell ref="G34:H34"/>
    <mergeCell ref="B51:F51"/>
    <mergeCell ref="G51:J51"/>
    <mergeCell ref="B52:F52"/>
    <mergeCell ref="G52:J52"/>
    <mergeCell ref="B54:F54"/>
    <mergeCell ref="G54:J54"/>
    <mergeCell ref="B55:F55"/>
    <mergeCell ref="G55:J55"/>
    <mergeCell ref="B57:F57"/>
    <mergeCell ref="G57:J57"/>
    <mergeCell ref="B58:F58"/>
    <mergeCell ref="G58:J58"/>
    <mergeCell ref="C60:F60"/>
    <mergeCell ref="G60:H60"/>
    <mergeCell ref="C75:F75"/>
    <mergeCell ref="G75:H75"/>
    <mergeCell ref="C81:F81"/>
    <mergeCell ref="G81:H81"/>
    <mergeCell ref="C87:F87"/>
    <mergeCell ref="G87:H87"/>
    <mergeCell ref="C93:F93"/>
    <mergeCell ref="G93:H93"/>
    <mergeCell ref="C99:F99"/>
    <mergeCell ref="G99:H99"/>
    <mergeCell ref="C108:F108"/>
    <mergeCell ref="G108:H108"/>
    <mergeCell ref="C115:F115"/>
    <mergeCell ref="G115:H115"/>
    <mergeCell ref="C130:F130"/>
    <mergeCell ref="G130:H130"/>
    <mergeCell ref="C136:F136"/>
    <mergeCell ref="G136:H136"/>
    <mergeCell ref="C142:F142"/>
    <mergeCell ref="G142:H142"/>
    <mergeCell ref="C148:F148"/>
    <mergeCell ref="G148:H148"/>
    <mergeCell ref="C153:F153"/>
    <mergeCell ref="G153:H153"/>
    <mergeCell ref="C159:F159"/>
    <mergeCell ref="G159:H159"/>
    <mergeCell ref="C164:F164"/>
    <mergeCell ref="G164:H164"/>
    <mergeCell ref="C170:F170"/>
    <mergeCell ref="G170:H170"/>
    <mergeCell ref="C178:F178"/>
    <mergeCell ref="G178:H178"/>
    <mergeCell ref="B200:F200"/>
    <mergeCell ref="G200:J200"/>
    <mergeCell ref="B201:F201"/>
    <mergeCell ref="G201:J201"/>
    <mergeCell ref="B203:F203"/>
    <mergeCell ref="G203:J203"/>
    <mergeCell ref="B204:F204"/>
    <mergeCell ref="G204:J204"/>
    <mergeCell ref="C206:F206"/>
    <mergeCell ref="G206:H206"/>
    <mergeCell ref="C217:F217"/>
    <mergeCell ref="G217:H217"/>
    <mergeCell ref="C223:F223"/>
    <mergeCell ref="G223:H223"/>
    <mergeCell ref="C235:F235"/>
    <mergeCell ref="G235:H235"/>
    <mergeCell ref="C241:F241"/>
    <mergeCell ref="G241:H241"/>
    <mergeCell ref="C247:F247"/>
    <mergeCell ref="G247:H247"/>
    <mergeCell ref="C252:F252"/>
    <mergeCell ref="G252:H252"/>
    <mergeCell ref="C258:F258"/>
    <mergeCell ref="G258:H258"/>
    <mergeCell ref="C263:F263"/>
    <mergeCell ref="G263:H263"/>
    <mergeCell ref="C269:F269"/>
    <mergeCell ref="G269:H269"/>
    <mergeCell ref="C275:F275"/>
    <mergeCell ref="G275:H275"/>
    <mergeCell ref="C281:F281"/>
    <mergeCell ref="G281:H281"/>
    <mergeCell ref="C287:F287"/>
    <mergeCell ref="G287:H287"/>
    <mergeCell ref="C299:F299"/>
    <mergeCell ref="G299:H299"/>
    <mergeCell ref="C307:F307"/>
    <mergeCell ref="G307:H307"/>
    <mergeCell ref="C314:F314"/>
    <mergeCell ref="G314:H314"/>
    <mergeCell ref="C330:F330"/>
    <mergeCell ref="G330:H330"/>
    <mergeCell ref="C345:F345"/>
    <mergeCell ref="G345:H345"/>
    <mergeCell ref="C351:F351"/>
    <mergeCell ref="G351:H351"/>
    <mergeCell ref="C363:F363"/>
    <mergeCell ref="G363:H363"/>
    <mergeCell ref="C371:F371"/>
    <mergeCell ref="G371:H371"/>
    <mergeCell ref="B381:F381"/>
    <mergeCell ref="G381:J381"/>
    <mergeCell ref="B382:F382"/>
    <mergeCell ref="G382:J382"/>
    <mergeCell ref="B384:F384"/>
    <mergeCell ref="G384:J384"/>
    <mergeCell ref="B385:F385"/>
    <mergeCell ref="G385:J385"/>
    <mergeCell ref="C387:F387"/>
    <mergeCell ref="G387:H387"/>
    <mergeCell ref="C399:F399"/>
    <mergeCell ref="G399:H399"/>
    <mergeCell ref="C407:F407"/>
    <mergeCell ref="G407:H407"/>
    <mergeCell ref="C414:F414"/>
    <mergeCell ref="G414:H414"/>
    <mergeCell ref="C430:F430"/>
    <mergeCell ref="G430:H430"/>
    <mergeCell ref="C447:F447"/>
    <mergeCell ref="G447:H447"/>
    <mergeCell ref="C457:F457"/>
    <mergeCell ref="G457:H457"/>
    <mergeCell ref="B467:F467"/>
    <mergeCell ref="G467:J467"/>
    <mergeCell ref="B468:F468"/>
    <mergeCell ref="G468:J468"/>
    <mergeCell ref="B470:F470"/>
    <mergeCell ref="G470:J470"/>
    <mergeCell ref="B471:F471"/>
    <mergeCell ref="G471:J471"/>
    <mergeCell ref="B473:F473"/>
    <mergeCell ref="G473:J473"/>
    <mergeCell ref="B474:F474"/>
    <mergeCell ref="G474:J474"/>
    <mergeCell ref="C476:F476"/>
    <mergeCell ref="G476:H476"/>
    <mergeCell ref="C483:F483"/>
    <mergeCell ref="G483:H483"/>
    <mergeCell ref="C498:F498"/>
    <mergeCell ref="G498:H498"/>
    <mergeCell ref="C504:F504"/>
    <mergeCell ref="G504:H504"/>
    <mergeCell ref="I504:J504"/>
  </mergeCells>
  <printOptions/>
  <pageMargins left="0.75" right="0.75" top="0.5" bottom="0.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6:F25"/>
  <sheetViews>
    <sheetView zoomScaleSheetLayoutView="100" workbookViewId="0" topLeftCell="A1">
      <selection activeCell="A1" sqref="A1"/>
    </sheetView>
  </sheetViews>
  <sheetFormatPr defaultColWidth="5.7109375" defaultRowHeight="12.75"/>
  <cols>
    <col min="1" max="1" width="6.140625" style="0" customWidth="1"/>
    <col min="2" max="2" width="11.7109375" style="0" customWidth="1"/>
    <col min="3" max="3" width="8.8515625" style="0" customWidth="1"/>
    <col min="4" max="4" width="88.28125" style="0" customWidth="1"/>
    <col min="5" max="6" width="11.7109375" style="0" customWidth="1"/>
    <col min="7" max="16384" width="6.28125" style="0" customWidth="1"/>
  </cols>
  <sheetData>
    <row r="1" ht="14.25" customHeight="1"/>
    <row r="2" ht="14.25" customHeight="1"/>
    <row r="3" ht="14.25" customHeight="1"/>
    <row r="4" ht="14.25" customHeight="1"/>
    <row r="5" ht="14.25" customHeight="1"/>
    <row r="6" ht="15">
      <c r="B6" s="1" t="s">
        <v>1060</v>
      </c>
    </row>
    <row r="7" spans="2:5" ht="15" customHeight="1">
      <c r="B7" s="13"/>
      <c r="C7" s="13"/>
      <c r="D7" s="13"/>
      <c r="E7" s="13"/>
    </row>
    <row r="8" spans="1:6" ht="15.75" customHeight="1">
      <c r="A8" s="14"/>
      <c r="B8" s="132" t="s">
        <v>1061</v>
      </c>
      <c r="C8" s="132" t="s">
        <v>1062</v>
      </c>
      <c r="D8" s="133" t="s">
        <v>1063</v>
      </c>
      <c r="E8" s="132"/>
      <c r="F8" s="16"/>
    </row>
    <row r="9" spans="1:6" ht="156.75">
      <c r="A9" s="14"/>
      <c r="B9" s="134">
        <v>41143</v>
      </c>
      <c r="C9" s="135">
        <v>0.1</v>
      </c>
      <c r="D9" s="127" t="s">
        <v>1064</v>
      </c>
      <c r="E9" s="136" t="s">
        <v>1065</v>
      </c>
      <c r="F9" s="16"/>
    </row>
    <row r="10" spans="1:6" ht="171">
      <c r="A10" s="14"/>
      <c r="B10" s="134">
        <v>41201</v>
      </c>
      <c r="C10" s="135">
        <v>1</v>
      </c>
      <c r="D10" s="127" t="s">
        <v>1066</v>
      </c>
      <c r="E10" s="136" t="s">
        <v>1065</v>
      </c>
      <c r="F10" s="16"/>
    </row>
    <row r="11" spans="1:6" ht="14.25">
      <c r="A11" s="14"/>
      <c r="B11" s="134"/>
      <c r="C11" s="135"/>
      <c r="D11" s="127"/>
      <c r="E11" s="136"/>
      <c r="F11" s="16"/>
    </row>
    <row r="12" spans="1:6" ht="14.25">
      <c r="A12" s="14"/>
      <c r="B12" s="134"/>
      <c r="C12" s="135"/>
      <c r="D12" s="127"/>
      <c r="E12" s="136"/>
      <c r="F12" s="16"/>
    </row>
    <row r="13" spans="1:6" ht="14.25">
      <c r="A13" s="14"/>
      <c r="B13" s="136"/>
      <c r="C13" s="135"/>
      <c r="D13" s="127"/>
      <c r="E13" s="136"/>
      <c r="F13" s="16"/>
    </row>
    <row r="14" spans="1:6" ht="14.25">
      <c r="A14" s="14"/>
      <c r="B14" s="136"/>
      <c r="C14" s="135"/>
      <c r="D14" s="127"/>
      <c r="E14" s="136"/>
      <c r="F14" s="16"/>
    </row>
    <row r="15" spans="1:6" ht="14.25">
      <c r="A15" s="14"/>
      <c r="B15" s="136"/>
      <c r="C15" s="135"/>
      <c r="D15" s="127"/>
      <c r="E15" s="136"/>
      <c r="F15" s="16"/>
    </row>
    <row r="16" spans="1:6" ht="14.25">
      <c r="A16" s="14"/>
      <c r="B16" s="136"/>
      <c r="C16" s="135"/>
      <c r="D16" s="127"/>
      <c r="E16" s="136"/>
      <c r="F16" s="16"/>
    </row>
    <row r="17" spans="1:6" ht="14.25">
      <c r="A17" s="14"/>
      <c r="B17" s="136"/>
      <c r="C17" s="135"/>
      <c r="D17" s="127"/>
      <c r="E17" s="136"/>
      <c r="F17" s="16"/>
    </row>
    <row r="18" spans="1:6" ht="14.25">
      <c r="A18" s="14"/>
      <c r="B18" s="136"/>
      <c r="C18" s="135"/>
      <c r="D18" s="127"/>
      <c r="E18" s="136"/>
      <c r="F18" s="16"/>
    </row>
    <row r="19" spans="1:6" ht="14.25">
      <c r="A19" s="14"/>
      <c r="B19" s="136"/>
      <c r="C19" s="135"/>
      <c r="D19" s="127"/>
      <c r="E19" s="136"/>
      <c r="F19" s="16"/>
    </row>
    <row r="20" spans="1:6" ht="14.25">
      <c r="A20" s="14"/>
      <c r="B20" s="136"/>
      <c r="C20" s="135"/>
      <c r="D20" s="127"/>
      <c r="E20" s="136"/>
      <c r="F20" s="16"/>
    </row>
    <row r="21" spans="1:6" ht="14.25">
      <c r="A21" s="14"/>
      <c r="B21" s="136"/>
      <c r="C21" s="135"/>
      <c r="D21" s="127"/>
      <c r="E21" s="136"/>
      <c r="F21" s="16"/>
    </row>
    <row r="22" spans="1:6" ht="14.25">
      <c r="A22" s="14"/>
      <c r="B22" s="136"/>
      <c r="C22" s="135"/>
      <c r="D22" s="127"/>
      <c r="E22" s="136"/>
      <c r="F22" s="16"/>
    </row>
    <row r="23" spans="1:6" ht="14.25">
      <c r="A23" s="14"/>
      <c r="B23" s="136"/>
      <c r="C23" s="135"/>
      <c r="D23" s="127"/>
      <c r="E23" s="136"/>
      <c r="F23" s="16"/>
    </row>
    <row r="24" spans="1:6" ht="14.25">
      <c r="A24" s="14"/>
      <c r="B24" s="136"/>
      <c r="C24" s="135"/>
      <c r="D24" s="127"/>
      <c r="E24" s="136"/>
      <c r="F24" s="16"/>
    </row>
    <row r="25" spans="1:6" ht="15" customHeight="1">
      <c r="A25" s="14"/>
      <c r="B25" s="136"/>
      <c r="C25" s="135"/>
      <c r="D25" s="127"/>
      <c r="E25" s="136"/>
      <c r="F25" s="16"/>
    </row>
  </sheetData>
  <sheetProtection selectLockedCells="1" selectUnlockedCells="1"/>
  <printOptions/>
  <pageMargins left="0.75" right="0.75" top="0.5" bottom="0.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2014-03-01T21:25:57Z</dcterms:created>
  <cp:category/>
  <cp:version/>
  <cp:contentType/>
  <cp:contentStatus/>
  <cp:revision>1</cp:revision>
</cp:coreProperties>
</file>